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codeName="ThisWorkbook" defaultThemeVersion="124226"/>
  <mc:AlternateContent xmlns:mc="http://schemas.openxmlformats.org/markup-compatibility/2006">
    <mc:Choice Requires="x15">
      <x15ac:absPath xmlns:x15ac="http://schemas.microsoft.com/office/spreadsheetml/2010/11/ac" url="https://gpisd.sharepoint.com/Shared Documents1/Metro CERT/Communications/Resources/CSG Calculators/"/>
    </mc:Choice>
  </mc:AlternateContent>
  <bookViews>
    <workbookView xWindow="0" yWindow="0" windowWidth="25200" windowHeight="10560" tabRatio="808"/>
  </bookViews>
  <sheets>
    <sheet name="Xcel CSG Calculator" sheetId="2" r:id="rId1"/>
    <sheet name="Detail 1" sheetId="8" r:id="rId2"/>
    <sheet name="Detail 2" sheetId="17" r:id="rId3"/>
    <sheet name="Detail 3" sheetId="18" r:id="rId4"/>
    <sheet name="Detail 4" sheetId="13" r:id="rId5"/>
    <sheet name="Detail 5" sheetId="19" r:id="rId6"/>
    <sheet name="Detail 6" sheetId="14" r:id="rId7"/>
    <sheet name="Detail 7" sheetId="20" r:id="rId8"/>
    <sheet name="PAYASGO " sheetId="4" r:id="rId9"/>
    <sheet name="Rates" sheetId="5" r:id="rId10"/>
    <sheet name="system size" sheetId="6" state="hidden" r:id="rId11"/>
  </sheets>
  <definedNames>
    <definedName name="_xlnm.Print_Area" localSheetId="0">'Xcel CSG Calculator'!$A$1:$K$70</definedName>
    <definedName name="rates">Rates!$B$1:$B$3</definedName>
    <definedName name="size">'system size'!$A$10:$A$14</definedName>
  </definedNames>
  <calcPr calcId="171027"/>
</workbook>
</file>

<file path=xl/calcChain.xml><?xml version="1.0" encoding="utf-8"?>
<calcChain xmlns="http://schemas.openxmlformats.org/spreadsheetml/2006/main">
  <c r="D10" i="20" l="1"/>
  <c r="D9" i="20"/>
  <c r="D11" i="20"/>
  <c r="D8" i="20"/>
  <c r="D6" i="20"/>
  <c r="D5" i="20"/>
  <c r="F14" i="20" s="1"/>
  <c r="D3" i="20"/>
  <c r="B14" i="20" s="1"/>
  <c r="D11" i="14"/>
  <c r="D10" i="14"/>
  <c r="D9" i="14"/>
  <c r="D8" i="14"/>
  <c r="D6" i="14"/>
  <c r="D5" i="14"/>
  <c r="D3" i="14"/>
  <c r="D10" i="19"/>
  <c r="D9" i="19"/>
  <c r="D11" i="19"/>
  <c r="D8" i="19"/>
  <c r="D6" i="19"/>
  <c r="D5" i="19"/>
  <c r="F14" i="19" s="1"/>
  <c r="G14" i="19" s="1"/>
  <c r="D3" i="19"/>
  <c r="B14" i="19" s="1"/>
  <c r="D11" i="13"/>
  <c r="D9" i="13"/>
  <c r="D8" i="13"/>
  <c r="D6" i="13"/>
  <c r="D5" i="13"/>
  <c r="G14" i="20" l="1"/>
  <c r="C14" i="20" s="1"/>
  <c r="D14" i="20" s="1"/>
  <c r="D4" i="20" s="1"/>
  <c r="F15" i="20"/>
  <c r="B15" i="20"/>
  <c r="C14" i="19"/>
  <c r="D14" i="19" s="1"/>
  <c r="H14" i="19"/>
  <c r="B15" i="19"/>
  <c r="F15" i="19"/>
  <c r="H14" i="20" l="1"/>
  <c r="F26" i="2"/>
  <c r="D4" i="19"/>
  <c r="F24" i="2"/>
  <c r="E14" i="20"/>
  <c r="I14" i="20" s="1"/>
  <c r="B16" i="20"/>
  <c r="G15" i="20"/>
  <c r="C15" i="20" s="1"/>
  <c r="D15" i="20" s="1"/>
  <c r="E15" i="20" s="1"/>
  <c r="F16" i="20"/>
  <c r="E14" i="19"/>
  <c r="I14" i="19" s="1"/>
  <c r="F16" i="19"/>
  <c r="G15" i="19"/>
  <c r="C15" i="19" s="1"/>
  <c r="D15" i="19" s="1"/>
  <c r="E15" i="19" s="1"/>
  <c r="B16" i="19"/>
  <c r="H15" i="19" l="1"/>
  <c r="I15" i="19" s="1"/>
  <c r="K15" i="19" s="1"/>
  <c r="H15" i="20"/>
  <c r="I15" i="20" s="1"/>
  <c r="K15" i="20" s="1"/>
  <c r="B17" i="20"/>
  <c r="F17" i="20"/>
  <c r="G16" i="20"/>
  <c r="C16" i="20" s="1"/>
  <c r="D16" i="20" s="1"/>
  <c r="E16" i="20" s="1"/>
  <c r="K14" i="20"/>
  <c r="L14" i="20" s="1"/>
  <c r="J14" i="20"/>
  <c r="F17" i="19"/>
  <c r="G16" i="19"/>
  <c r="C16" i="19" s="1"/>
  <c r="D16" i="19" s="1"/>
  <c r="E16" i="19" s="1"/>
  <c r="B17" i="19"/>
  <c r="K14" i="19"/>
  <c r="L14" i="19" s="1"/>
  <c r="J14" i="19"/>
  <c r="J15" i="19" l="1"/>
  <c r="L15" i="19"/>
  <c r="J15" i="20"/>
  <c r="H16" i="20"/>
  <c r="I16" i="20" s="1"/>
  <c r="K16" i="20" s="1"/>
  <c r="L15" i="20"/>
  <c r="F18" i="20"/>
  <c r="G17" i="20"/>
  <c r="C17" i="20" s="1"/>
  <c r="D17" i="20" s="1"/>
  <c r="E17" i="20" s="1"/>
  <c r="B18" i="20"/>
  <c r="B18" i="19"/>
  <c r="H16" i="19"/>
  <c r="I16" i="19" s="1"/>
  <c r="K16" i="19" s="1"/>
  <c r="G17" i="19"/>
  <c r="C17" i="19" s="1"/>
  <c r="D17" i="19" s="1"/>
  <c r="E17" i="19" s="1"/>
  <c r="F18" i="19"/>
  <c r="H17" i="19" l="1"/>
  <c r="I17" i="19" s="1"/>
  <c r="K17" i="19" s="1"/>
  <c r="L16" i="19"/>
  <c r="L16" i="20"/>
  <c r="J16" i="20"/>
  <c r="H17" i="20"/>
  <c r="I17" i="20" s="1"/>
  <c r="G18" i="20"/>
  <c r="C18" i="20" s="1"/>
  <c r="D18" i="20" s="1"/>
  <c r="E18" i="20" s="1"/>
  <c r="F19" i="20"/>
  <c r="B19" i="20"/>
  <c r="B19" i="19"/>
  <c r="G18" i="19"/>
  <c r="C18" i="19" s="1"/>
  <c r="D18" i="19" s="1"/>
  <c r="E18" i="19" s="1"/>
  <c r="F19" i="19"/>
  <c r="J16" i="19"/>
  <c r="L17" i="19" l="1"/>
  <c r="J17" i="19"/>
  <c r="H18" i="19"/>
  <c r="I18" i="19"/>
  <c r="K18" i="19" s="1"/>
  <c r="K17" i="20"/>
  <c r="L17" i="20" s="1"/>
  <c r="J17" i="20"/>
  <c r="H18" i="20"/>
  <c r="I18" i="20" s="1"/>
  <c r="K18" i="20" s="1"/>
  <c r="E37" i="2" s="1"/>
  <c r="B20" i="20"/>
  <c r="G19" i="20"/>
  <c r="C19" i="20" s="1"/>
  <c r="D19" i="20" s="1"/>
  <c r="E19" i="20" s="1"/>
  <c r="F20" i="20"/>
  <c r="F20" i="19"/>
  <c r="G19" i="19"/>
  <c r="C19" i="19" s="1"/>
  <c r="D19" i="19" s="1"/>
  <c r="E19" i="19" s="1"/>
  <c r="B20" i="19"/>
  <c r="J18" i="19" l="1"/>
  <c r="H19" i="19"/>
  <c r="L18" i="19"/>
  <c r="E47" i="2" s="1"/>
  <c r="E35" i="2"/>
  <c r="L18" i="20"/>
  <c r="E49" i="2" s="1"/>
  <c r="B21" i="20"/>
  <c r="H20" i="20"/>
  <c r="J18" i="20"/>
  <c r="F21" i="20"/>
  <c r="G20" i="20"/>
  <c r="C20" i="20" s="1"/>
  <c r="D20" i="20" s="1"/>
  <c r="E20" i="20" s="1"/>
  <c r="H19" i="20"/>
  <c r="I19" i="20" s="1"/>
  <c r="K19" i="20" s="1"/>
  <c r="F21" i="19"/>
  <c r="G20" i="19"/>
  <c r="C20" i="19" s="1"/>
  <c r="D20" i="19" s="1"/>
  <c r="E20" i="19" s="1"/>
  <c r="I19" i="19"/>
  <c r="K19" i="19" s="1"/>
  <c r="B21" i="19"/>
  <c r="L19" i="19" l="1"/>
  <c r="H20" i="19"/>
  <c r="I20" i="19" s="1"/>
  <c r="J19" i="20"/>
  <c r="I20" i="20"/>
  <c r="K20" i="20" s="1"/>
  <c r="L19" i="20"/>
  <c r="F22" i="20"/>
  <c r="G21" i="20"/>
  <c r="C21" i="20" s="1"/>
  <c r="D21" i="20" s="1"/>
  <c r="E21" i="20" s="1"/>
  <c r="B22" i="20"/>
  <c r="J19" i="19"/>
  <c r="G21" i="19"/>
  <c r="C21" i="19" s="1"/>
  <c r="D21" i="19" s="1"/>
  <c r="E21" i="19" s="1"/>
  <c r="F22" i="19"/>
  <c r="B22" i="19"/>
  <c r="L20" i="20" l="1"/>
  <c r="K20" i="19"/>
  <c r="L20" i="19" s="1"/>
  <c r="J20" i="19"/>
  <c r="J20" i="20"/>
  <c r="G22" i="20"/>
  <c r="C22" i="20" s="1"/>
  <c r="D22" i="20" s="1"/>
  <c r="E22" i="20" s="1"/>
  <c r="F23" i="20"/>
  <c r="B23" i="20"/>
  <c r="H21" i="20"/>
  <c r="I21" i="20" s="1"/>
  <c r="B23" i="19"/>
  <c r="H21" i="19"/>
  <c r="I21" i="19" s="1"/>
  <c r="G22" i="19"/>
  <c r="C22" i="19" s="1"/>
  <c r="D22" i="19" s="1"/>
  <c r="E22" i="19" s="1"/>
  <c r="F23" i="19"/>
  <c r="K21" i="20" l="1"/>
  <c r="L21" i="20" s="1"/>
  <c r="J21" i="20"/>
  <c r="G23" i="20"/>
  <c r="C23" i="20" s="1"/>
  <c r="D23" i="20" s="1"/>
  <c r="E23" i="20" s="1"/>
  <c r="F24" i="20"/>
  <c r="B24" i="20"/>
  <c r="H22" i="20"/>
  <c r="I22" i="20" s="1"/>
  <c r="K22" i="20" s="1"/>
  <c r="K21" i="19"/>
  <c r="L21" i="19" s="1"/>
  <c r="J21" i="19"/>
  <c r="F24" i="19"/>
  <c r="G23" i="19"/>
  <c r="C23" i="19" s="1"/>
  <c r="D23" i="19" s="1"/>
  <c r="E23" i="19" s="1"/>
  <c r="B24" i="19"/>
  <c r="H23" i="19"/>
  <c r="H22" i="19"/>
  <c r="I22" i="19" s="1"/>
  <c r="K22" i="19" s="1"/>
  <c r="L22" i="20" l="1"/>
  <c r="L22" i="19"/>
  <c r="I23" i="19"/>
  <c r="K23" i="19" s="1"/>
  <c r="F35" i="2" s="1"/>
  <c r="B25" i="20"/>
  <c r="H23" i="20"/>
  <c r="I23" i="20" s="1"/>
  <c r="K23" i="20" s="1"/>
  <c r="J22" i="20"/>
  <c r="F25" i="20"/>
  <c r="G24" i="20"/>
  <c r="C24" i="20" s="1"/>
  <c r="D24" i="20" s="1"/>
  <c r="E24" i="20" s="1"/>
  <c r="F25" i="19"/>
  <c r="G24" i="19"/>
  <c r="C24" i="19" s="1"/>
  <c r="D24" i="19" s="1"/>
  <c r="E24" i="19" s="1"/>
  <c r="B25" i="19"/>
  <c r="J22" i="19"/>
  <c r="J23" i="19" l="1"/>
  <c r="H24" i="19"/>
  <c r="I24" i="19" s="1"/>
  <c r="K24" i="19" s="1"/>
  <c r="L23" i="19"/>
  <c r="F47" i="2" s="1"/>
  <c r="L23" i="20"/>
  <c r="F49" i="2" s="1"/>
  <c r="F37" i="2"/>
  <c r="H24" i="20"/>
  <c r="I24" i="20" s="1"/>
  <c r="K24" i="20" s="1"/>
  <c r="J23" i="20"/>
  <c r="B26" i="20"/>
  <c r="F26" i="20"/>
  <c r="G25" i="20"/>
  <c r="C25" i="20" s="1"/>
  <c r="D25" i="20" s="1"/>
  <c r="E25" i="20" s="1"/>
  <c r="B26" i="19"/>
  <c r="G25" i="19"/>
  <c r="C25" i="19" s="1"/>
  <c r="D25" i="19" s="1"/>
  <c r="E25" i="19" s="1"/>
  <c r="F26" i="19"/>
  <c r="L24" i="19" l="1"/>
  <c r="J24" i="19"/>
  <c r="L24" i="20"/>
  <c r="G26" i="20"/>
  <c r="C26" i="20" s="1"/>
  <c r="D26" i="20" s="1"/>
  <c r="E26" i="20" s="1"/>
  <c r="F27" i="20"/>
  <c r="B27" i="20"/>
  <c r="J24" i="20"/>
  <c r="H25" i="20"/>
  <c r="I25" i="20" s="1"/>
  <c r="K25" i="20" s="1"/>
  <c r="L25" i="20" s="1"/>
  <c r="B27" i="19"/>
  <c r="G26" i="19"/>
  <c r="C26" i="19" s="1"/>
  <c r="D26" i="19" s="1"/>
  <c r="E26" i="19" s="1"/>
  <c r="F27" i="19"/>
  <c r="H25" i="19"/>
  <c r="I25" i="19" s="1"/>
  <c r="J25" i="20" l="1"/>
  <c r="B28" i="20"/>
  <c r="F28" i="20"/>
  <c r="G27" i="20"/>
  <c r="C27" i="20" s="1"/>
  <c r="D27" i="20" s="1"/>
  <c r="E27" i="20" s="1"/>
  <c r="H26" i="20"/>
  <c r="I26" i="20" s="1"/>
  <c r="K26" i="20" s="1"/>
  <c r="L26" i="20" s="1"/>
  <c r="K25" i="19"/>
  <c r="L25" i="19" s="1"/>
  <c r="J25" i="19"/>
  <c r="B28" i="19"/>
  <c r="F28" i="19"/>
  <c r="G27" i="19"/>
  <c r="C27" i="19" s="1"/>
  <c r="D27" i="19" s="1"/>
  <c r="E27" i="19" s="1"/>
  <c r="H26" i="19"/>
  <c r="I26" i="19" s="1"/>
  <c r="K26" i="19" s="1"/>
  <c r="F29" i="20" l="1"/>
  <c r="G28" i="20"/>
  <c r="C28" i="20" s="1"/>
  <c r="D28" i="20" s="1"/>
  <c r="E28" i="20" s="1"/>
  <c r="J26" i="20"/>
  <c r="H27" i="20"/>
  <c r="I27" i="20" s="1"/>
  <c r="K27" i="20" s="1"/>
  <c r="L27" i="20" s="1"/>
  <c r="B29" i="20"/>
  <c r="H28" i="20"/>
  <c r="L26" i="19"/>
  <c r="H27" i="19"/>
  <c r="I27" i="19" s="1"/>
  <c r="K27" i="19" s="1"/>
  <c r="J26" i="19"/>
  <c r="B29" i="19"/>
  <c r="F29" i="19"/>
  <c r="G28" i="19"/>
  <c r="C28" i="19" s="1"/>
  <c r="D28" i="19" s="1"/>
  <c r="E28" i="19" s="1"/>
  <c r="B30" i="20" l="1"/>
  <c r="J27" i="20"/>
  <c r="I28" i="20"/>
  <c r="K28" i="20" s="1"/>
  <c r="F30" i="20"/>
  <c r="G29" i="20"/>
  <c r="C29" i="20" s="1"/>
  <c r="D29" i="20" s="1"/>
  <c r="E29" i="20" s="1"/>
  <c r="L27" i="19"/>
  <c r="H28" i="19"/>
  <c r="I28" i="19" s="1"/>
  <c r="K28" i="19" s="1"/>
  <c r="G35" i="2" s="1"/>
  <c r="G29" i="19"/>
  <c r="C29" i="19" s="1"/>
  <c r="D29" i="19" s="1"/>
  <c r="E29" i="19" s="1"/>
  <c r="F30" i="19"/>
  <c r="J27" i="19"/>
  <c r="B30" i="19"/>
  <c r="H29" i="19"/>
  <c r="I29" i="19" l="1"/>
  <c r="K29" i="19" s="1"/>
  <c r="L28" i="20"/>
  <c r="G49" i="2" s="1"/>
  <c r="G37" i="2"/>
  <c r="J28" i="20"/>
  <c r="G30" i="20"/>
  <c r="C30" i="20" s="1"/>
  <c r="D30" i="20" s="1"/>
  <c r="E30" i="20" s="1"/>
  <c r="F31" i="20"/>
  <c r="H29" i="20"/>
  <c r="I29" i="20" s="1"/>
  <c r="B31" i="20"/>
  <c r="L28" i="19"/>
  <c r="B31" i="19"/>
  <c r="G30" i="19"/>
  <c r="C30" i="19" s="1"/>
  <c r="D30" i="19" s="1"/>
  <c r="E30" i="19" s="1"/>
  <c r="F31" i="19"/>
  <c r="J28" i="19"/>
  <c r="J29" i="19" s="1"/>
  <c r="L29" i="19" l="1"/>
  <c r="G47" i="2"/>
  <c r="H30" i="20"/>
  <c r="I30" i="20" s="1"/>
  <c r="K30" i="20" s="1"/>
  <c r="K29" i="20"/>
  <c r="L29" i="20" s="1"/>
  <c r="J29" i="20"/>
  <c r="B32" i="20"/>
  <c r="G31" i="20"/>
  <c r="C31" i="20" s="1"/>
  <c r="D31" i="20" s="1"/>
  <c r="E31" i="20" s="1"/>
  <c r="F32" i="20"/>
  <c r="F32" i="19"/>
  <c r="G31" i="19"/>
  <c r="C31" i="19" s="1"/>
  <c r="D31" i="19" s="1"/>
  <c r="E31" i="19" s="1"/>
  <c r="H30" i="19"/>
  <c r="I30" i="19" s="1"/>
  <c r="B32" i="19"/>
  <c r="H31" i="20" l="1"/>
  <c r="I31" i="20" s="1"/>
  <c r="K31" i="20" s="1"/>
  <c r="J30" i="20"/>
  <c r="L30" i="20"/>
  <c r="F33" i="20"/>
  <c r="G32" i="20"/>
  <c r="C32" i="20" s="1"/>
  <c r="D32" i="20" s="1"/>
  <c r="E32" i="20" s="1"/>
  <c r="B33" i="20"/>
  <c r="K30" i="19"/>
  <c r="L30" i="19" s="1"/>
  <c r="J30" i="19"/>
  <c r="F33" i="19"/>
  <c r="G32" i="19"/>
  <c r="C32" i="19" s="1"/>
  <c r="D32" i="19" s="1"/>
  <c r="E32" i="19" s="1"/>
  <c r="H31" i="19"/>
  <c r="I31" i="19" s="1"/>
  <c r="K31" i="19" s="1"/>
  <c r="L31" i="19" s="1"/>
  <c r="B33" i="19"/>
  <c r="H32" i="20" l="1"/>
  <c r="I32" i="20" s="1"/>
  <c r="K32" i="20" s="1"/>
  <c r="H32" i="19"/>
  <c r="L31" i="20"/>
  <c r="J31" i="20"/>
  <c r="I32" i="19"/>
  <c r="K32" i="19" s="1"/>
  <c r="L32" i="19" s="1"/>
  <c r="F34" i="20"/>
  <c r="G33" i="20"/>
  <c r="C33" i="20" s="1"/>
  <c r="D33" i="20" s="1"/>
  <c r="E33" i="20" s="1"/>
  <c r="B34" i="20"/>
  <c r="G33" i="19"/>
  <c r="C33" i="19" s="1"/>
  <c r="D33" i="19" s="1"/>
  <c r="E33" i="19" s="1"/>
  <c r="F34" i="19"/>
  <c r="B34" i="19"/>
  <c r="J31" i="19"/>
  <c r="L32" i="20" l="1"/>
  <c r="J32" i="20"/>
  <c r="J32" i="19"/>
  <c r="H33" i="20"/>
  <c r="H33" i="19"/>
  <c r="I33" i="19" s="1"/>
  <c r="K33" i="19" s="1"/>
  <c r="G34" i="20"/>
  <c r="C34" i="20" s="1"/>
  <c r="D34" i="20" s="1"/>
  <c r="E34" i="20" s="1"/>
  <c r="F35" i="20"/>
  <c r="I33" i="20"/>
  <c r="K33" i="20" s="1"/>
  <c r="B35" i="20"/>
  <c r="B35" i="19"/>
  <c r="G34" i="19"/>
  <c r="C34" i="19" s="1"/>
  <c r="D34" i="19" s="1"/>
  <c r="E34" i="19" s="1"/>
  <c r="F35" i="19"/>
  <c r="L33" i="19" l="1"/>
  <c r="H47" i="2" s="1"/>
  <c r="H35" i="2"/>
  <c r="L33" i="20"/>
  <c r="H49" i="2" s="1"/>
  <c r="H37" i="2"/>
  <c r="J33" i="19"/>
  <c r="J33" i="20"/>
  <c r="B36" i="20"/>
  <c r="H34" i="20"/>
  <c r="I34" i="20" s="1"/>
  <c r="G35" i="20"/>
  <c r="C35" i="20" s="1"/>
  <c r="D35" i="20" s="1"/>
  <c r="E35" i="20" s="1"/>
  <c r="F36" i="20"/>
  <c r="B36" i="19"/>
  <c r="F36" i="19"/>
  <c r="G35" i="19"/>
  <c r="C35" i="19" s="1"/>
  <c r="D35" i="19" s="1"/>
  <c r="E35" i="19" s="1"/>
  <c r="H34" i="19"/>
  <c r="I34" i="19" s="1"/>
  <c r="K34" i="20" l="1"/>
  <c r="L34" i="20" s="1"/>
  <c r="J34" i="20"/>
  <c r="F37" i="20"/>
  <c r="G36" i="20"/>
  <c r="C36" i="20" s="1"/>
  <c r="D36" i="20" s="1"/>
  <c r="E36" i="20" s="1"/>
  <c r="B37" i="20"/>
  <c r="H35" i="20"/>
  <c r="I35" i="20" s="1"/>
  <c r="K35" i="20" s="1"/>
  <c r="K34" i="19"/>
  <c r="L34" i="19" s="1"/>
  <c r="J34" i="19"/>
  <c r="F37" i="19"/>
  <c r="G36" i="19"/>
  <c r="C36" i="19" s="1"/>
  <c r="D36" i="19" s="1"/>
  <c r="E36" i="19" s="1"/>
  <c r="B37" i="19"/>
  <c r="H35" i="19"/>
  <c r="I35" i="19" s="1"/>
  <c r="K35" i="19" s="1"/>
  <c r="H36" i="20" l="1"/>
  <c r="I36" i="20" s="1"/>
  <c r="K36" i="20" s="1"/>
  <c r="L35" i="20"/>
  <c r="F38" i="20"/>
  <c r="G38" i="20" s="1"/>
  <c r="C38" i="20" s="1"/>
  <c r="D38" i="20" s="1"/>
  <c r="G37" i="20"/>
  <c r="C37" i="20" s="1"/>
  <c r="D37" i="20" s="1"/>
  <c r="E37" i="20" s="1"/>
  <c r="B38" i="20"/>
  <c r="J35" i="20"/>
  <c r="L35" i="19"/>
  <c r="G37" i="19"/>
  <c r="C37" i="19" s="1"/>
  <c r="D37" i="19" s="1"/>
  <c r="E37" i="19" s="1"/>
  <c r="F38" i="19"/>
  <c r="G38" i="19" s="1"/>
  <c r="C38" i="19" s="1"/>
  <c r="D38" i="19" s="1"/>
  <c r="B38" i="19"/>
  <c r="H36" i="19"/>
  <c r="I36" i="19" s="1"/>
  <c r="K36" i="19" s="1"/>
  <c r="L36" i="19" s="1"/>
  <c r="J35" i="19"/>
  <c r="L36" i="20" l="1"/>
  <c r="H37" i="19"/>
  <c r="I37" i="19" s="1"/>
  <c r="K37" i="19" s="1"/>
  <c r="L37" i="19" s="1"/>
  <c r="J36" i="20"/>
  <c r="H37" i="20"/>
  <c r="I37" i="20" s="1"/>
  <c r="E38" i="20"/>
  <c r="H38" i="20"/>
  <c r="H38" i="19"/>
  <c r="E38" i="19"/>
  <c r="I38" i="19" s="1"/>
  <c r="K38" i="19" s="1"/>
  <c r="J36" i="19"/>
  <c r="K37" i="20" l="1"/>
  <c r="L37" i="20" s="1"/>
  <c r="J37" i="20"/>
  <c r="J37" i="19"/>
  <c r="L38" i="19"/>
  <c r="I47" i="2" s="1"/>
  <c r="I35" i="2"/>
  <c r="I38" i="20"/>
  <c r="K38" i="20" s="1"/>
  <c r="J38" i="19"/>
  <c r="L38" i="20" l="1"/>
  <c r="I49" i="2" s="1"/>
  <c r="I37" i="2"/>
  <c r="J38" i="20"/>
  <c r="D3" i="13" l="1"/>
  <c r="D7" i="18"/>
  <c r="D4" i="18"/>
  <c r="C13" i="18" s="1"/>
  <c r="D10" i="18"/>
  <c r="D9" i="18"/>
  <c r="D6" i="18"/>
  <c r="D5" i="18"/>
  <c r="E13" i="18" s="1"/>
  <c r="D3" i="18"/>
  <c r="B13" i="18" s="1"/>
  <c r="B14" i="18" s="1"/>
  <c r="D7" i="17"/>
  <c r="D4" i="17"/>
  <c r="C13" i="17" s="1"/>
  <c r="D10" i="17"/>
  <c r="D9" i="17"/>
  <c r="D6" i="17"/>
  <c r="D5" i="17"/>
  <c r="E13" i="17" s="1"/>
  <c r="D3" i="17"/>
  <c r="B13" i="17" s="1"/>
  <c r="C14" i="17" l="1"/>
  <c r="C15" i="17" s="1"/>
  <c r="C16" i="17" s="1"/>
  <c r="C17" i="17" s="1"/>
  <c r="C18" i="17" s="1"/>
  <c r="C19" i="17" s="1"/>
  <c r="C20" i="17" s="1"/>
  <c r="C21" i="17" s="1"/>
  <c r="C22" i="17" s="1"/>
  <c r="C23" i="17" s="1"/>
  <c r="C24" i="17" s="1"/>
  <c r="C25" i="17" s="1"/>
  <c r="C26" i="17" s="1"/>
  <c r="C27" i="17" s="1"/>
  <c r="C28" i="17" s="1"/>
  <c r="C29" i="17" s="1"/>
  <c r="C30" i="17" s="1"/>
  <c r="C31" i="17" s="1"/>
  <c r="C32" i="17" s="1"/>
  <c r="C33" i="17" s="1"/>
  <c r="C34" i="17" s="1"/>
  <c r="C35" i="17" s="1"/>
  <c r="C36" i="17" s="1"/>
  <c r="C37" i="17" s="1"/>
  <c r="C14" i="18"/>
  <c r="C15" i="18" s="1"/>
  <c r="C16" i="18" s="1"/>
  <c r="C17" i="18" s="1"/>
  <c r="C18" i="18" s="1"/>
  <c r="C19" i="18" s="1"/>
  <c r="C20" i="18" s="1"/>
  <c r="C21" i="18" s="1"/>
  <c r="C22" i="18" s="1"/>
  <c r="C23" i="18" s="1"/>
  <c r="C24" i="18" s="1"/>
  <c r="C25" i="18" s="1"/>
  <c r="C26" i="18" s="1"/>
  <c r="C27" i="18" s="1"/>
  <c r="C28" i="18" s="1"/>
  <c r="C29" i="18" s="1"/>
  <c r="C30" i="18" s="1"/>
  <c r="C31" i="18" s="1"/>
  <c r="C32" i="18" s="1"/>
  <c r="C33" i="18" s="1"/>
  <c r="C34" i="18" s="1"/>
  <c r="C35" i="18" s="1"/>
  <c r="C36" i="18" s="1"/>
  <c r="C37" i="18" s="1"/>
  <c r="F13" i="18"/>
  <c r="G13" i="18" s="1"/>
  <c r="E14" i="18"/>
  <c r="B15" i="18"/>
  <c r="D13" i="18"/>
  <c r="E14" i="17"/>
  <c r="F13" i="17"/>
  <c r="G13" i="17" s="1"/>
  <c r="B14" i="17"/>
  <c r="D13" i="17"/>
  <c r="D10" i="8"/>
  <c r="D9" i="8"/>
  <c r="D7" i="8"/>
  <c r="D6" i="8"/>
  <c r="D5" i="8"/>
  <c r="D4" i="8"/>
  <c r="C13" i="8" s="1"/>
  <c r="D3" i="8"/>
  <c r="B13" i="8" s="1"/>
  <c r="B14" i="14"/>
  <c r="B15" i="14" s="1"/>
  <c r="F14" i="14"/>
  <c r="F15" i="14" s="1"/>
  <c r="F16" i="14" s="1"/>
  <c r="F17" i="14" s="1"/>
  <c r="F18" i="14" s="1"/>
  <c r="B14" i="13"/>
  <c r="B15" i="13" s="1"/>
  <c r="F14" i="13"/>
  <c r="C43" i="2"/>
  <c r="C44" i="2"/>
  <c r="C45" i="2"/>
  <c r="C46" i="2"/>
  <c r="C47" i="2"/>
  <c r="C48" i="2"/>
  <c r="C49" i="2"/>
  <c r="C32" i="2"/>
  <c r="C33" i="2"/>
  <c r="C34" i="2"/>
  <c r="C35" i="2"/>
  <c r="C36" i="2"/>
  <c r="C37" i="2"/>
  <c r="C31" i="2"/>
  <c r="E13" i="8"/>
  <c r="B2" i="6"/>
  <c r="B3" i="6" s="1"/>
  <c r="B4" i="6" s="1"/>
  <c r="B5" i="6" s="1"/>
  <c r="E4" i="4"/>
  <c r="E2" i="4"/>
  <c r="E6" i="4"/>
  <c r="E5" i="4"/>
  <c r="E3" i="4"/>
  <c r="C11" i="4"/>
  <c r="C16" i="4" s="1"/>
  <c r="B11" i="4"/>
  <c r="C21" i="4" l="1"/>
  <c r="F13" i="8"/>
  <c r="C25" i="4"/>
  <c r="B25" i="4"/>
  <c r="D25" i="4" s="1"/>
  <c r="E25" i="4" s="1"/>
  <c r="D13" i="8"/>
  <c r="B14" i="8"/>
  <c r="C36" i="4"/>
  <c r="C33" i="4"/>
  <c r="B7" i="6"/>
  <c r="H14" i="2" s="1"/>
  <c r="H16" i="2" s="1"/>
  <c r="B6" i="6"/>
  <c r="E14" i="8"/>
  <c r="E15" i="8" s="1"/>
  <c r="E16" i="8" s="1"/>
  <c r="C26" i="4"/>
  <c r="C29" i="4"/>
  <c r="C14" i="8"/>
  <c r="C15" i="8" s="1"/>
  <c r="C16" i="8" s="1"/>
  <c r="C17" i="8" s="1"/>
  <c r="C18" i="8" s="1"/>
  <c r="C19" i="8" s="1"/>
  <c r="C20" i="8" s="1"/>
  <c r="C21" i="8" s="1"/>
  <c r="C22" i="8" s="1"/>
  <c r="C23" i="8" s="1"/>
  <c r="C24" i="8" s="1"/>
  <c r="C25" i="8" s="1"/>
  <c r="C26" i="8" s="1"/>
  <c r="C27" i="8" s="1"/>
  <c r="C28" i="8" s="1"/>
  <c r="C29" i="8" s="1"/>
  <c r="C30" i="8" s="1"/>
  <c r="C31" i="8" s="1"/>
  <c r="C32" i="8" s="1"/>
  <c r="C33" i="8" s="1"/>
  <c r="C34" i="8" s="1"/>
  <c r="C35" i="8" s="1"/>
  <c r="C36" i="8" s="1"/>
  <c r="C37" i="8" s="1"/>
  <c r="C18" i="4"/>
  <c r="B20" i="4"/>
  <c r="D20" i="4" s="1"/>
  <c r="E20" i="4" s="1"/>
  <c r="B13" i="4"/>
  <c r="D13" i="4" s="1"/>
  <c r="E13" i="4" s="1"/>
  <c r="G13" i="8"/>
  <c r="F14" i="8"/>
  <c r="G14" i="8" s="1"/>
  <c r="C34" i="4"/>
  <c r="C30" i="4"/>
  <c r="C24" i="4"/>
  <c r="C20" i="4"/>
  <c r="C37" i="4"/>
  <c r="C31" i="4"/>
  <c r="C23" i="4"/>
  <c r="C17" i="4"/>
  <c r="B14" i="4"/>
  <c r="D14" i="4" s="1"/>
  <c r="B31" i="4"/>
  <c r="D31" i="4" s="1"/>
  <c r="E31" i="4" s="1"/>
  <c r="B23" i="4"/>
  <c r="D23" i="4" s="1"/>
  <c r="E23" i="4" s="1"/>
  <c r="B15" i="4"/>
  <c r="D15" i="4" s="1"/>
  <c r="E15" i="4" s="1"/>
  <c r="B30" i="4"/>
  <c r="D30" i="4" s="1"/>
  <c r="E30" i="4" s="1"/>
  <c r="B22" i="4"/>
  <c r="D22" i="4" s="1"/>
  <c r="E22" i="4" s="1"/>
  <c r="B37" i="4"/>
  <c r="D37" i="4" s="1"/>
  <c r="E37" i="4" s="1"/>
  <c r="B29" i="4"/>
  <c r="D29" i="4" s="1"/>
  <c r="E29" i="4" s="1"/>
  <c r="B21" i="4"/>
  <c r="D21" i="4" s="1"/>
  <c r="E21" i="4" s="1"/>
  <c r="B36" i="4"/>
  <c r="D36" i="4" s="1"/>
  <c r="E36" i="4" s="1"/>
  <c r="B28" i="4"/>
  <c r="D28" i="4" s="1"/>
  <c r="E28" i="4" s="1"/>
  <c r="C13" i="4"/>
  <c r="C14" i="4"/>
  <c r="C32" i="4"/>
  <c r="C28" i="4"/>
  <c r="C22" i="4"/>
  <c r="C35" i="4"/>
  <c r="C27" i="4"/>
  <c r="C19" i="4"/>
  <c r="C15" i="4"/>
  <c r="B35" i="4"/>
  <c r="D35" i="4" s="1"/>
  <c r="E35" i="4" s="1"/>
  <c r="B27" i="4"/>
  <c r="D27" i="4" s="1"/>
  <c r="E27" i="4" s="1"/>
  <c r="B19" i="4"/>
  <c r="D19" i="4" s="1"/>
  <c r="E19" i="4" s="1"/>
  <c r="B34" i="4"/>
  <c r="D34" i="4" s="1"/>
  <c r="E34" i="4" s="1"/>
  <c r="B26" i="4"/>
  <c r="D26" i="4" s="1"/>
  <c r="E26" i="4" s="1"/>
  <c r="B18" i="4"/>
  <c r="D18" i="4" s="1"/>
  <c r="E18" i="4" s="1"/>
  <c r="B33" i="4"/>
  <c r="D33" i="4" s="1"/>
  <c r="E33" i="4" s="1"/>
  <c r="B17" i="4"/>
  <c r="D17" i="4" s="1"/>
  <c r="E17" i="4" s="1"/>
  <c r="B32" i="4"/>
  <c r="D32" i="4" s="1"/>
  <c r="E32" i="4" s="1"/>
  <c r="B24" i="4"/>
  <c r="D24" i="4" s="1"/>
  <c r="E24" i="4" s="1"/>
  <c r="B16" i="4"/>
  <c r="D16" i="4" s="1"/>
  <c r="E16" i="4" s="1"/>
  <c r="F19" i="14"/>
  <c r="F20" i="14" s="1"/>
  <c r="G18" i="14"/>
  <c r="C18" i="14" s="1"/>
  <c r="D18" i="14" s="1"/>
  <c r="G16" i="14"/>
  <c r="C16" i="14" s="1"/>
  <c r="D16" i="14" s="1"/>
  <c r="G15" i="14"/>
  <c r="C15" i="14" s="1"/>
  <c r="D15" i="14" s="1"/>
  <c r="E15" i="14" s="1"/>
  <c r="G17" i="14"/>
  <c r="C17" i="14" s="1"/>
  <c r="D17" i="14" s="1"/>
  <c r="G14" i="14"/>
  <c r="D14" i="18"/>
  <c r="D15" i="18"/>
  <c r="B16" i="18"/>
  <c r="H13" i="18"/>
  <c r="E15" i="18"/>
  <c r="F14" i="18"/>
  <c r="G14" i="18" s="1"/>
  <c r="B15" i="17"/>
  <c r="D14" i="17"/>
  <c r="H13" i="17"/>
  <c r="F14" i="17"/>
  <c r="G14" i="17" s="1"/>
  <c r="E15" i="17"/>
  <c r="F15" i="13"/>
  <c r="G14" i="13"/>
  <c r="C14" i="13" s="1"/>
  <c r="B16" i="13"/>
  <c r="B15" i="8"/>
  <c r="B16" i="14"/>
  <c r="F15" i="8" l="1"/>
  <c r="G15" i="8" s="1"/>
  <c r="H13" i="8"/>
  <c r="D14" i="8"/>
  <c r="E14" i="4"/>
  <c r="E38" i="4" s="1"/>
  <c r="D38" i="4"/>
  <c r="E17" i="8"/>
  <c r="F16" i="8"/>
  <c r="H14" i="18"/>
  <c r="J14" i="18" s="1"/>
  <c r="I13" i="8"/>
  <c r="J13" i="8"/>
  <c r="K13" i="8" s="1"/>
  <c r="H14" i="8"/>
  <c r="J14" i="8" s="1"/>
  <c r="K14" i="8" s="1"/>
  <c r="G19" i="14"/>
  <c r="C19" i="14" s="1"/>
  <c r="D19" i="14" s="1"/>
  <c r="H15" i="14"/>
  <c r="I15" i="14" s="1"/>
  <c r="K15" i="14" s="1"/>
  <c r="C14" i="14"/>
  <c r="D14" i="14" s="1"/>
  <c r="F25" i="2" s="1"/>
  <c r="H14" i="14"/>
  <c r="F21" i="14"/>
  <c r="G20" i="14"/>
  <c r="C20" i="14" s="1"/>
  <c r="D20" i="14" s="1"/>
  <c r="B17" i="18"/>
  <c r="D16" i="18"/>
  <c r="F15" i="18"/>
  <c r="G15" i="18" s="1"/>
  <c r="H15" i="18" s="1"/>
  <c r="J15" i="18" s="1"/>
  <c r="E16" i="18"/>
  <c r="J13" i="18"/>
  <c r="K13" i="18" s="1"/>
  <c r="I13" i="18"/>
  <c r="J13" i="17"/>
  <c r="K13" i="17" s="1"/>
  <c r="I13" i="17"/>
  <c r="H14" i="17"/>
  <c r="J14" i="17" s="1"/>
  <c r="E16" i="17"/>
  <c r="F15" i="17"/>
  <c r="G15" i="17" s="1"/>
  <c r="B16" i="17"/>
  <c r="D15" i="17"/>
  <c r="B17" i="14"/>
  <c r="H16" i="14"/>
  <c r="E16" i="14"/>
  <c r="D15" i="8"/>
  <c r="B16" i="8"/>
  <c r="H14" i="13"/>
  <c r="B17" i="13"/>
  <c r="F16" i="13"/>
  <c r="G15" i="13"/>
  <c r="K14" i="18" l="1"/>
  <c r="K15" i="18" s="1"/>
  <c r="I14" i="8"/>
  <c r="E18" i="8"/>
  <c r="F17" i="8"/>
  <c r="H15" i="8"/>
  <c r="J15" i="8" s="1"/>
  <c r="K15" i="8" s="1"/>
  <c r="I14" i="18"/>
  <c r="I15" i="18" s="1"/>
  <c r="I16" i="14"/>
  <c r="K16" i="14" s="1"/>
  <c r="E14" i="14"/>
  <c r="I14" i="14" s="1"/>
  <c r="D4" i="14"/>
  <c r="F22" i="14"/>
  <c r="G21" i="14"/>
  <c r="C21" i="14" s="1"/>
  <c r="D21" i="14" s="1"/>
  <c r="K14" i="17"/>
  <c r="F16" i="18"/>
  <c r="G16" i="18" s="1"/>
  <c r="H16" i="18" s="1"/>
  <c r="J16" i="18" s="1"/>
  <c r="E17" i="18"/>
  <c r="D17" i="18"/>
  <c r="B18" i="18"/>
  <c r="B17" i="17"/>
  <c r="D16" i="17"/>
  <c r="H15" i="17"/>
  <c r="J15" i="17" s="1"/>
  <c r="E17" i="17"/>
  <c r="F16" i="17"/>
  <c r="G16" i="17" s="1"/>
  <c r="I14" i="17"/>
  <c r="G16" i="13"/>
  <c r="F17" i="13"/>
  <c r="C15" i="13"/>
  <c r="H15" i="13"/>
  <c r="B18" i="13"/>
  <c r="E17" i="14"/>
  <c r="H17" i="14"/>
  <c r="B18" i="14"/>
  <c r="D16" i="8"/>
  <c r="G16" i="8"/>
  <c r="B17" i="8"/>
  <c r="I15" i="8" l="1"/>
  <c r="K16" i="18"/>
  <c r="K15" i="17"/>
  <c r="E19" i="8"/>
  <c r="F18" i="8"/>
  <c r="J14" i="14"/>
  <c r="J15" i="14" s="1"/>
  <c r="J16" i="14" s="1"/>
  <c r="K14" i="14"/>
  <c r="L14" i="14" s="1"/>
  <c r="L15" i="14" s="1"/>
  <c r="L16" i="14" s="1"/>
  <c r="F23" i="14"/>
  <c r="G22" i="14"/>
  <c r="C22" i="14" s="1"/>
  <c r="D22" i="14" s="1"/>
  <c r="H16" i="8"/>
  <c r="J16" i="8" s="1"/>
  <c r="K16" i="8" s="1"/>
  <c r="F17" i="18"/>
  <c r="G17" i="18" s="1"/>
  <c r="H17" i="18" s="1"/>
  <c r="J17" i="18" s="1"/>
  <c r="E18" i="18"/>
  <c r="B19" i="18"/>
  <c r="D18" i="18"/>
  <c r="I16" i="18"/>
  <c r="I15" i="17"/>
  <c r="H16" i="17"/>
  <c r="J16" i="17" s="1"/>
  <c r="E18" i="17"/>
  <c r="F17" i="17"/>
  <c r="G17" i="17" s="1"/>
  <c r="B18" i="17"/>
  <c r="D17" i="17"/>
  <c r="C16" i="13"/>
  <c r="H16" i="13"/>
  <c r="H18" i="14"/>
  <c r="E18" i="14"/>
  <c r="B19" i="14"/>
  <c r="B19" i="13"/>
  <c r="G17" i="8"/>
  <c r="D17" i="8"/>
  <c r="B18" i="8"/>
  <c r="I17" i="14"/>
  <c r="K17" i="14" s="1"/>
  <c r="G17" i="13"/>
  <c r="F18" i="13"/>
  <c r="I17" i="18" l="1"/>
  <c r="K16" i="17"/>
  <c r="I16" i="8"/>
  <c r="K17" i="18"/>
  <c r="E45" i="2" s="1"/>
  <c r="E33" i="2"/>
  <c r="E20" i="8"/>
  <c r="F19" i="8"/>
  <c r="L17" i="14"/>
  <c r="I18" i="14"/>
  <c r="K18" i="14" s="1"/>
  <c r="F24" i="14"/>
  <c r="G23" i="14"/>
  <c r="C23" i="14" s="1"/>
  <c r="D23" i="14" s="1"/>
  <c r="B20" i="18"/>
  <c r="D19" i="18"/>
  <c r="E19" i="18"/>
  <c r="F18" i="18"/>
  <c r="G18" i="18" s="1"/>
  <c r="H18" i="18" s="1"/>
  <c r="H17" i="17"/>
  <c r="J17" i="17" s="1"/>
  <c r="E19" i="17"/>
  <c r="F18" i="17"/>
  <c r="G18" i="17" s="1"/>
  <c r="B19" i="17"/>
  <c r="D18" i="17"/>
  <c r="I16" i="17"/>
  <c r="E19" i="14"/>
  <c r="H19" i="14"/>
  <c r="B20" i="14"/>
  <c r="J17" i="14"/>
  <c r="G18" i="13"/>
  <c r="F19" i="13"/>
  <c r="D18" i="8"/>
  <c r="H18" i="8" s="1"/>
  <c r="J18" i="8" s="1"/>
  <c r="B19" i="8"/>
  <c r="G18" i="8"/>
  <c r="C17" i="13"/>
  <c r="H17" i="13"/>
  <c r="H17" i="8"/>
  <c r="J17" i="8" s="1"/>
  <c r="B20" i="13"/>
  <c r="I17" i="17" l="1"/>
  <c r="I17" i="8"/>
  <c r="I18" i="8" s="1"/>
  <c r="L18" i="14"/>
  <c r="E48" i="2" s="1"/>
  <c r="E36" i="2"/>
  <c r="J18" i="14"/>
  <c r="F20" i="8"/>
  <c r="E21" i="8"/>
  <c r="G24" i="14"/>
  <c r="C24" i="14" s="1"/>
  <c r="D24" i="14" s="1"/>
  <c r="F25" i="14"/>
  <c r="K17" i="17"/>
  <c r="E44" i="2" s="1"/>
  <c r="E32" i="2"/>
  <c r="E31" i="2"/>
  <c r="J18" i="18"/>
  <c r="K18" i="18" s="1"/>
  <c r="I18" i="18"/>
  <c r="B21" i="18"/>
  <c r="D20" i="18"/>
  <c r="F19" i="18"/>
  <c r="G19" i="18" s="1"/>
  <c r="H19" i="18" s="1"/>
  <c r="J19" i="18" s="1"/>
  <c r="K19" i="18" s="1"/>
  <c r="E20" i="18"/>
  <c r="B20" i="17"/>
  <c r="D19" i="17"/>
  <c r="E20" i="17"/>
  <c r="F19" i="17"/>
  <c r="G19" i="17" s="1"/>
  <c r="H18" i="17"/>
  <c r="J18" i="17" s="1"/>
  <c r="K18" i="17" s="1"/>
  <c r="I19" i="14"/>
  <c r="K19" i="14" s="1"/>
  <c r="B21" i="13"/>
  <c r="G19" i="13"/>
  <c r="F20" i="13"/>
  <c r="K17" i="8"/>
  <c r="E43" i="2" s="1"/>
  <c r="D19" i="8"/>
  <c r="B20" i="8"/>
  <c r="G19" i="8"/>
  <c r="C18" i="13"/>
  <c r="H18" i="13"/>
  <c r="E20" i="14"/>
  <c r="B21" i="14"/>
  <c r="H20" i="14"/>
  <c r="L19" i="14" l="1"/>
  <c r="E22" i="8"/>
  <c r="F21" i="8"/>
  <c r="I20" i="14"/>
  <c r="K20" i="14" s="1"/>
  <c r="J19" i="14"/>
  <c r="G25" i="14"/>
  <c r="C25" i="14" s="1"/>
  <c r="D25" i="14" s="1"/>
  <c r="F26" i="14"/>
  <c r="K18" i="8"/>
  <c r="H19" i="8"/>
  <c r="J19" i="8" s="1"/>
  <c r="B22" i="18"/>
  <c r="D21" i="18"/>
  <c r="I19" i="18"/>
  <c r="F20" i="18"/>
  <c r="G20" i="18" s="1"/>
  <c r="H20" i="18" s="1"/>
  <c r="J20" i="18" s="1"/>
  <c r="K20" i="18" s="1"/>
  <c r="E21" i="18"/>
  <c r="I18" i="17"/>
  <c r="H19" i="17"/>
  <c r="J19" i="17" s="1"/>
  <c r="K19" i="17" s="1"/>
  <c r="B21" i="17"/>
  <c r="D20" i="17"/>
  <c r="E21" i="17"/>
  <c r="F20" i="17"/>
  <c r="G20" i="17" s="1"/>
  <c r="D20" i="8"/>
  <c r="G20" i="8"/>
  <c r="B21" i="8"/>
  <c r="F21" i="13"/>
  <c r="G20" i="13"/>
  <c r="B22" i="13"/>
  <c r="C19" i="13"/>
  <c r="H19" i="13"/>
  <c r="B22" i="14"/>
  <c r="H21" i="14"/>
  <c r="E21" i="14"/>
  <c r="J20" i="14" l="1"/>
  <c r="K19" i="8"/>
  <c r="L20" i="14"/>
  <c r="F22" i="8"/>
  <c r="E23" i="8"/>
  <c r="F27" i="14"/>
  <c r="G26" i="14"/>
  <c r="C26" i="14" s="1"/>
  <c r="D26" i="14" s="1"/>
  <c r="H20" i="8"/>
  <c r="J20" i="8" s="1"/>
  <c r="K20" i="8" s="1"/>
  <c r="I19" i="8"/>
  <c r="I20" i="18"/>
  <c r="F21" i="18"/>
  <c r="G21" i="18" s="1"/>
  <c r="H21" i="18" s="1"/>
  <c r="J21" i="18" s="1"/>
  <c r="K21" i="18" s="1"/>
  <c r="E22" i="18"/>
  <c r="B23" i="18"/>
  <c r="D22" i="18"/>
  <c r="H20" i="17"/>
  <c r="J20" i="17" s="1"/>
  <c r="K20" i="17" s="1"/>
  <c r="B22" i="17"/>
  <c r="D21" i="17"/>
  <c r="E22" i="17"/>
  <c r="F21" i="17"/>
  <c r="G21" i="17" s="1"/>
  <c r="I19" i="17"/>
  <c r="C20" i="13"/>
  <c r="H20" i="13"/>
  <c r="H22" i="14"/>
  <c r="B23" i="14"/>
  <c r="E22" i="14"/>
  <c r="G21" i="13"/>
  <c r="F22" i="13"/>
  <c r="B22" i="8"/>
  <c r="D21" i="8"/>
  <c r="G21" i="8"/>
  <c r="I21" i="14"/>
  <c r="K21" i="14" s="1"/>
  <c r="L21" i="14" s="1"/>
  <c r="B23" i="13"/>
  <c r="I20" i="8" l="1"/>
  <c r="E24" i="8"/>
  <c r="F23" i="8"/>
  <c r="H21" i="8"/>
  <c r="J21" i="8" s="1"/>
  <c r="K21" i="8" s="1"/>
  <c r="I22" i="14"/>
  <c r="K22" i="14" s="1"/>
  <c r="L22" i="14" s="1"/>
  <c r="F28" i="14"/>
  <c r="G27" i="14"/>
  <c r="C27" i="14" s="1"/>
  <c r="D27" i="14" s="1"/>
  <c r="J21" i="14"/>
  <c r="I20" i="17"/>
  <c r="E23" i="18"/>
  <c r="F22" i="18"/>
  <c r="G22" i="18" s="1"/>
  <c r="H22" i="18" s="1"/>
  <c r="J22" i="18" s="1"/>
  <c r="D23" i="18"/>
  <c r="B24" i="18"/>
  <c r="I21" i="18"/>
  <c r="H21" i="17"/>
  <c r="J21" i="17" s="1"/>
  <c r="K21" i="17" s="1"/>
  <c r="B23" i="17"/>
  <c r="D22" i="17"/>
  <c r="E23" i="17"/>
  <c r="F22" i="17"/>
  <c r="G22" i="17" s="1"/>
  <c r="B24" i="13"/>
  <c r="F23" i="13"/>
  <c r="G22" i="13"/>
  <c r="C21" i="13"/>
  <c r="H21" i="13"/>
  <c r="B23" i="8"/>
  <c r="D22" i="8"/>
  <c r="G22" i="8"/>
  <c r="E23" i="14"/>
  <c r="H23" i="14"/>
  <c r="B24" i="14"/>
  <c r="I21" i="8" l="1"/>
  <c r="J22" i="14"/>
  <c r="K22" i="18"/>
  <c r="F45" i="2" s="1"/>
  <c r="F33" i="2"/>
  <c r="F24" i="8"/>
  <c r="E25" i="8"/>
  <c r="F29" i="14"/>
  <c r="G28" i="14"/>
  <c r="C28" i="14" s="1"/>
  <c r="D28" i="14" s="1"/>
  <c r="I21" i="17"/>
  <c r="H22" i="8"/>
  <c r="J22" i="8" s="1"/>
  <c r="I22" i="8"/>
  <c r="I22" i="18"/>
  <c r="B25" i="18"/>
  <c r="D24" i="18"/>
  <c r="F23" i="18"/>
  <c r="G23" i="18" s="1"/>
  <c r="H23" i="18" s="1"/>
  <c r="E24" i="18"/>
  <c r="E24" i="17"/>
  <c r="F23" i="17"/>
  <c r="G23" i="17"/>
  <c r="B24" i="17"/>
  <c r="D23" i="17"/>
  <c r="H22" i="17"/>
  <c r="J22" i="17" s="1"/>
  <c r="I23" i="14"/>
  <c r="K23" i="14" s="1"/>
  <c r="C22" i="13"/>
  <c r="H22" i="13"/>
  <c r="B25" i="13"/>
  <c r="F24" i="13"/>
  <c r="G23" i="13"/>
  <c r="D23" i="8"/>
  <c r="B24" i="8"/>
  <c r="G23" i="8"/>
  <c r="H24" i="14"/>
  <c r="E24" i="14"/>
  <c r="B25" i="14"/>
  <c r="K22" i="8"/>
  <c r="F43" i="2" s="1"/>
  <c r="L23" i="14" l="1"/>
  <c r="F48" i="2" s="1"/>
  <c r="F36" i="2"/>
  <c r="E26" i="8"/>
  <c r="F25" i="8"/>
  <c r="H23" i="8"/>
  <c r="J23" i="8" s="1"/>
  <c r="K23" i="8" s="1"/>
  <c r="I24" i="14"/>
  <c r="K24" i="14" s="1"/>
  <c r="L24" i="14" s="1"/>
  <c r="G29" i="14"/>
  <c r="C29" i="14" s="1"/>
  <c r="D29" i="14" s="1"/>
  <c r="F30" i="14"/>
  <c r="K22" i="17"/>
  <c r="F44" i="2" s="1"/>
  <c r="F32" i="2"/>
  <c r="F31" i="2"/>
  <c r="J23" i="18"/>
  <c r="K23" i="18" s="1"/>
  <c r="I23" i="18"/>
  <c r="D25" i="18"/>
  <c r="B26" i="18"/>
  <c r="F24" i="18"/>
  <c r="G24" i="18" s="1"/>
  <c r="H24" i="18" s="1"/>
  <c r="J24" i="18" s="1"/>
  <c r="K24" i="18" s="1"/>
  <c r="E25" i="18"/>
  <c r="I22" i="17"/>
  <c r="B25" i="17"/>
  <c r="D24" i="17"/>
  <c r="H23" i="17"/>
  <c r="J23" i="17" s="1"/>
  <c r="K23" i="17" s="1"/>
  <c r="E25" i="17"/>
  <c r="F24" i="17"/>
  <c r="G24" i="17" s="1"/>
  <c r="E25" i="14"/>
  <c r="B26" i="14"/>
  <c r="H25" i="14"/>
  <c r="D24" i="8"/>
  <c r="B25" i="8"/>
  <c r="G24" i="8"/>
  <c r="C23" i="13"/>
  <c r="H23" i="13"/>
  <c r="B26" i="13"/>
  <c r="F25" i="13"/>
  <c r="G24" i="13"/>
  <c r="J23" i="14"/>
  <c r="J24" i="14" l="1"/>
  <c r="I23" i="8"/>
  <c r="F26" i="8"/>
  <c r="E27" i="8"/>
  <c r="I25" i="14"/>
  <c r="K25" i="14" s="1"/>
  <c r="L25" i="14" s="1"/>
  <c r="F31" i="14"/>
  <c r="G30" i="14"/>
  <c r="C30" i="14" s="1"/>
  <c r="D30" i="14" s="1"/>
  <c r="I23" i="17"/>
  <c r="H24" i="8"/>
  <c r="J24" i="8" s="1"/>
  <c r="K24" i="8" s="1"/>
  <c r="I24" i="18"/>
  <c r="F25" i="18"/>
  <c r="G25" i="18" s="1"/>
  <c r="H25" i="18" s="1"/>
  <c r="J25" i="18" s="1"/>
  <c r="K25" i="18" s="1"/>
  <c r="E26" i="18"/>
  <c r="B27" i="18"/>
  <c r="D26" i="18"/>
  <c r="E26" i="17"/>
  <c r="F25" i="17"/>
  <c r="G25" i="17" s="1"/>
  <c r="H24" i="17"/>
  <c r="J24" i="17" s="1"/>
  <c r="K24" i="17" s="1"/>
  <c r="B26" i="17"/>
  <c r="D25" i="17"/>
  <c r="G25" i="8"/>
  <c r="B26" i="8"/>
  <c r="D25" i="8"/>
  <c r="C24" i="13"/>
  <c r="H24" i="13"/>
  <c r="G25" i="13"/>
  <c r="F26" i="13"/>
  <c r="B27" i="13"/>
  <c r="E26" i="14"/>
  <c r="B27" i="14"/>
  <c r="H26" i="14"/>
  <c r="H25" i="8" l="1"/>
  <c r="J25" i="8" s="1"/>
  <c r="K25" i="8" s="1"/>
  <c r="I24" i="8"/>
  <c r="E28" i="8"/>
  <c r="F27" i="8"/>
  <c r="J25" i="14"/>
  <c r="G31" i="14"/>
  <c r="C31" i="14" s="1"/>
  <c r="D31" i="14" s="1"/>
  <c r="F32" i="14"/>
  <c r="I26" i="14"/>
  <c r="K26" i="14" s="1"/>
  <c r="L26" i="14" s="1"/>
  <c r="E27" i="18"/>
  <c r="F26" i="18"/>
  <c r="G26" i="18" s="1"/>
  <c r="H26" i="18" s="1"/>
  <c r="J26" i="18" s="1"/>
  <c r="K26" i="18" s="1"/>
  <c r="I25" i="18"/>
  <c r="B28" i="18"/>
  <c r="D27" i="18"/>
  <c r="B27" i="17"/>
  <c r="D26" i="17"/>
  <c r="H25" i="17"/>
  <c r="J25" i="17" s="1"/>
  <c r="K25" i="17" s="1"/>
  <c r="E27" i="17"/>
  <c r="F26" i="17"/>
  <c r="G26" i="17" s="1"/>
  <c r="I24" i="17"/>
  <c r="J26" i="14"/>
  <c r="I25" i="8"/>
  <c r="D26" i="8"/>
  <c r="B27" i="8"/>
  <c r="G26" i="8"/>
  <c r="C25" i="13"/>
  <c r="H25" i="13"/>
  <c r="G26" i="13"/>
  <c r="F27" i="13"/>
  <c r="E27" i="14"/>
  <c r="B28" i="14"/>
  <c r="H27" i="14"/>
  <c r="B28" i="13"/>
  <c r="F28" i="8" l="1"/>
  <c r="E29" i="8"/>
  <c r="H26" i="8"/>
  <c r="J26" i="8" s="1"/>
  <c r="K26" i="8" s="1"/>
  <c r="F33" i="14"/>
  <c r="G32" i="14"/>
  <c r="C32" i="14" s="1"/>
  <c r="D32" i="14" s="1"/>
  <c r="I26" i="18"/>
  <c r="B29" i="18"/>
  <c r="D28" i="18"/>
  <c r="F27" i="18"/>
  <c r="G27" i="18" s="1"/>
  <c r="H27" i="18" s="1"/>
  <c r="J27" i="18" s="1"/>
  <c r="E28" i="18"/>
  <c r="I25" i="17"/>
  <c r="H26" i="17"/>
  <c r="J26" i="17" s="1"/>
  <c r="K26" i="17" s="1"/>
  <c r="B28" i="17"/>
  <c r="D27" i="17"/>
  <c r="E28" i="17"/>
  <c r="F27" i="17"/>
  <c r="G27" i="17" s="1"/>
  <c r="F28" i="13"/>
  <c r="G27" i="13"/>
  <c r="H28" i="14"/>
  <c r="E28" i="14"/>
  <c r="B29" i="14"/>
  <c r="C26" i="13"/>
  <c r="H26" i="13"/>
  <c r="I27" i="14"/>
  <c r="K27" i="14" s="1"/>
  <c r="L27" i="14" s="1"/>
  <c r="D27" i="8"/>
  <c r="G27" i="8"/>
  <c r="B28" i="8"/>
  <c r="B29" i="13"/>
  <c r="E30" i="8" l="1"/>
  <c r="F29" i="8"/>
  <c r="I26" i="8"/>
  <c r="K27" i="18"/>
  <c r="G45" i="2" s="1"/>
  <c r="G33" i="2"/>
  <c r="J27" i="14"/>
  <c r="G33" i="14"/>
  <c r="C33" i="14" s="1"/>
  <c r="D33" i="14" s="1"/>
  <c r="F34" i="14"/>
  <c r="I26" i="17"/>
  <c r="H27" i="8"/>
  <c r="J27" i="8" s="1"/>
  <c r="K27" i="8" s="1"/>
  <c r="G43" i="2" s="1"/>
  <c r="B30" i="18"/>
  <c r="D29" i="18"/>
  <c r="E29" i="18"/>
  <c r="F28" i="18"/>
  <c r="G28" i="18" s="1"/>
  <c r="H28" i="18" s="1"/>
  <c r="J28" i="18" s="1"/>
  <c r="I27" i="18"/>
  <c r="H27" i="17"/>
  <c r="J27" i="17" s="1"/>
  <c r="B29" i="17"/>
  <c r="D28" i="17"/>
  <c r="E29" i="17"/>
  <c r="F28" i="17"/>
  <c r="G28" i="17" s="1"/>
  <c r="I28" i="14"/>
  <c r="K28" i="14" s="1"/>
  <c r="C27" i="13"/>
  <c r="H27" i="13"/>
  <c r="B30" i="13"/>
  <c r="E29" i="14"/>
  <c r="H29" i="14"/>
  <c r="B30" i="14"/>
  <c r="D28" i="8"/>
  <c r="B29" i="8"/>
  <c r="G28" i="8"/>
  <c r="F29" i="13"/>
  <c r="G28" i="13"/>
  <c r="K28" i="18" l="1"/>
  <c r="I27" i="8"/>
  <c r="L28" i="14"/>
  <c r="G48" i="2" s="1"/>
  <c r="G36" i="2"/>
  <c r="F30" i="8"/>
  <c r="E31" i="8"/>
  <c r="G34" i="14"/>
  <c r="C34" i="14" s="1"/>
  <c r="D34" i="14" s="1"/>
  <c r="F35" i="14"/>
  <c r="K27" i="17"/>
  <c r="G44" i="2" s="1"/>
  <c r="G32" i="2"/>
  <c r="I27" i="17"/>
  <c r="H28" i="8"/>
  <c r="J28" i="8" s="1"/>
  <c r="K28" i="8" s="1"/>
  <c r="G31" i="2"/>
  <c r="I28" i="18"/>
  <c r="F29" i="18"/>
  <c r="G29" i="18" s="1"/>
  <c r="H29" i="18" s="1"/>
  <c r="J29" i="18" s="1"/>
  <c r="K29" i="18" s="1"/>
  <c r="E30" i="18"/>
  <c r="B31" i="18"/>
  <c r="D30" i="18"/>
  <c r="H28" i="17"/>
  <c r="J28" i="17" s="1"/>
  <c r="D29" i="17"/>
  <c r="B30" i="17"/>
  <c r="E30" i="17"/>
  <c r="F29" i="17"/>
  <c r="G29" i="17" s="1"/>
  <c r="G29" i="13"/>
  <c r="F30" i="13"/>
  <c r="G29" i="8"/>
  <c r="D29" i="8"/>
  <c r="B30" i="8"/>
  <c r="B31" i="13"/>
  <c r="E30" i="14"/>
  <c r="H30" i="14"/>
  <c r="B31" i="14"/>
  <c r="J28" i="14"/>
  <c r="C28" i="13"/>
  <c r="H28" i="13"/>
  <c r="I29" i="14"/>
  <c r="K29" i="14" s="1"/>
  <c r="I28" i="8" l="1"/>
  <c r="L29" i="14"/>
  <c r="K28" i="17"/>
  <c r="E32" i="8"/>
  <c r="F31" i="8"/>
  <c r="J29" i="14"/>
  <c r="F36" i="14"/>
  <c r="G35" i="14"/>
  <c r="C35" i="14" s="1"/>
  <c r="D35" i="14" s="1"/>
  <c r="I28" i="17"/>
  <c r="E31" i="18"/>
  <c r="F30" i="18"/>
  <c r="G30" i="18" s="1"/>
  <c r="H30" i="18" s="1"/>
  <c r="J30" i="18" s="1"/>
  <c r="K30" i="18" s="1"/>
  <c r="B32" i="18"/>
  <c r="D31" i="18"/>
  <c r="I29" i="18"/>
  <c r="H29" i="17"/>
  <c r="J29" i="17" s="1"/>
  <c r="K29" i="17" s="1"/>
  <c r="E31" i="17"/>
  <c r="F30" i="17"/>
  <c r="G30" i="17" s="1"/>
  <c r="B31" i="17"/>
  <c r="D30" i="17"/>
  <c r="B32" i="13"/>
  <c r="B32" i="14"/>
  <c r="E31" i="14"/>
  <c r="H31" i="14"/>
  <c r="F31" i="13"/>
  <c r="G30" i="13"/>
  <c r="I30" i="14"/>
  <c r="K30" i="14" s="1"/>
  <c r="L30" i="14" s="1"/>
  <c r="H29" i="8"/>
  <c r="J29" i="8" s="1"/>
  <c r="K29" i="8" s="1"/>
  <c r="D30" i="8"/>
  <c r="G30" i="8"/>
  <c r="B31" i="8"/>
  <c r="C29" i="13"/>
  <c r="H29" i="13"/>
  <c r="F32" i="8" l="1"/>
  <c r="E33" i="8"/>
  <c r="F37" i="14"/>
  <c r="G36" i="14"/>
  <c r="C36" i="14" s="1"/>
  <c r="D36" i="14" s="1"/>
  <c r="J30" i="14"/>
  <c r="I29" i="17"/>
  <c r="I30" i="18"/>
  <c r="F31" i="18"/>
  <c r="G31" i="18" s="1"/>
  <c r="E32" i="18"/>
  <c r="B33" i="18"/>
  <c r="D32" i="18"/>
  <c r="H31" i="18"/>
  <c r="J31" i="18" s="1"/>
  <c r="K31" i="18" s="1"/>
  <c r="H30" i="17"/>
  <c r="J30" i="17" s="1"/>
  <c r="K30" i="17" s="1"/>
  <c r="E32" i="17"/>
  <c r="F31" i="17"/>
  <c r="G31" i="17" s="1"/>
  <c r="D31" i="17"/>
  <c r="B32" i="17"/>
  <c r="G31" i="13"/>
  <c r="F32" i="13"/>
  <c r="G31" i="8"/>
  <c r="B32" i="8"/>
  <c r="D31" i="8"/>
  <c r="I29" i="8"/>
  <c r="C30" i="13"/>
  <c r="H30" i="13"/>
  <c r="B33" i="13"/>
  <c r="H30" i="8"/>
  <c r="J30" i="8" s="1"/>
  <c r="K30" i="8" s="1"/>
  <c r="I31" i="14"/>
  <c r="K31" i="14" s="1"/>
  <c r="L31" i="14" s="1"/>
  <c r="B33" i="14"/>
  <c r="E32" i="14"/>
  <c r="H32" i="14"/>
  <c r="E34" i="8" l="1"/>
  <c r="F33" i="8"/>
  <c r="I30" i="8"/>
  <c r="F38" i="14"/>
  <c r="G38" i="14" s="1"/>
  <c r="C38" i="14" s="1"/>
  <c r="D38" i="14" s="1"/>
  <c r="G37" i="14"/>
  <c r="C37" i="14" s="1"/>
  <c r="D37" i="14" s="1"/>
  <c r="B34" i="18"/>
  <c r="D33" i="18"/>
  <c r="E33" i="18"/>
  <c r="F32" i="18"/>
  <c r="G32" i="18" s="1"/>
  <c r="H32" i="18" s="1"/>
  <c r="J32" i="18" s="1"/>
  <c r="I31" i="18"/>
  <c r="B33" i="17"/>
  <c r="D32" i="17"/>
  <c r="E33" i="17"/>
  <c r="F32" i="17"/>
  <c r="G32" i="17" s="1"/>
  <c r="H31" i="17"/>
  <c r="J31" i="17" s="1"/>
  <c r="K31" i="17" s="1"/>
  <c r="I30" i="17"/>
  <c r="G32" i="8"/>
  <c r="B33" i="8"/>
  <c r="D32" i="8"/>
  <c r="C31" i="13"/>
  <c r="H31" i="13"/>
  <c r="B34" i="13"/>
  <c r="J31" i="14"/>
  <c r="I32" i="14"/>
  <c r="K32" i="14" s="1"/>
  <c r="L32" i="14" s="1"/>
  <c r="H33" i="14"/>
  <c r="B34" i="14"/>
  <c r="E33" i="14"/>
  <c r="H31" i="8"/>
  <c r="J31" i="8" s="1"/>
  <c r="K31" i="8" s="1"/>
  <c r="G32" i="13"/>
  <c r="F33" i="13"/>
  <c r="K32" i="18" l="1"/>
  <c r="H45" i="2" s="1"/>
  <c r="H33" i="2"/>
  <c r="F34" i="8"/>
  <c r="E35" i="8"/>
  <c r="H32" i="8"/>
  <c r="J32" i="8" s="1"/>
  <c r="K32" i="8" s="1"/>
  <c r="H43" i="2" s="1"/>
  <c r="J32" i="14"/>
  <c r="I32" i="18"/>
  <c r="I31" i="17"/>
  <c r="H31" i="2"/>
  <c r="I31" i="8"/>
  <c r="F33" i="18"/>
  <c r="G33" i="18" s="1"/>
  <c r="H33" i="18" s="1"/>
  <c r="E34" i="18"/>
  <c r="B35" i="18"/>
  <c r="D34" i="18"/>
  <c r="H32" i="17"/>
  <c r="J32" i="17" s="1"/>
  <c r="E34" i="17"/>
  <c r="F33" i="17"/>
  <c r="G33" i="17" s="1"/>
  <c r="B34" i="17"/>
  <c r="D33" i="17"/>
  <c r="G33" i="13"/>
  <c r="F34" i="13"/>
  <c r="B35" i="13"/>
  <c r="B34" i="8"/>
  <c r="D33" i="8"/>
  <c r="G33" i="8"/>
  <c r="C32" i="13"/>
  <c r="H32" i="13"/>
  <c r="I33" i="14"/>
  <c r="K33" i="14" s="1"/>
  <c r="H34" i="14"/>
  <c r="B35" i="14"/>
  <c r="E34" i="14"/>
  <c r="I32" i="8" l="1"/>
  <c r="L33" i="14"/>
  <c r="H48" i="2" s="1"/>
  <c r="H36" i="2"/>
  <c r="E36" i="8"/>
  <c r="F35" i="8"/>
  <c r="K32" i="17"/>
  <c r="H44" i="2" s="1"/>
  <c r="H32" i="2"/>
  <c r="H33" i="8"/>
  <c r="J33" i="8" s="1"/>
  <c r="K33" i="8" s="1"/>
  <c r="J33" i="18"/>
  <c r="K33" i="18" s="1"/>
  <c r="I33" i="18"/>
  <c r="E35" i="18"/>
  <c r="F34" i="18"/>
  <c r="G34" i="18" s="1"/>
  <c r="H34" i="18" s="1"/>
  <c r="J34" i="18" s="1"/>
  <c r="B36" i="18"/>
  <c r="D35" i="18"/>
  <c r="H33" i="17"/>
  <c r="J33" i="17" s="1"/>
  <c r="K33" i="17" s="1"/>
  <c r="E35" i="17"/>
  <c r="F34" i="17"/>
  <c r="G34" i="17" s="1"/>
  <c r="B35" i="17"/>
  <c r="D34" i="17"/>
  <c r="I32" i="17"/>
  <c r="B35" i="8"/>
  <c r="G34" i="8"/>
  <c r="D34" i="8"/>
  <c r="H34" i="8" s="1"/>
  <c r="J34" i="8" s="1"/>
  <c r="B36" i="13"/>
  <c r="G34" i="13"/>
  <c r="F35" i="13"/>
  <c r="C33" i="13"/>
  <c r="H33" i="13"/>
  <c r="I34" i="14"/>
  <c r="K34" i="14" s="1"/>
  <c r="L34" i="14" s="1"/>
  <c r="J33" i="14"/>
  <c r="E35" i="14"/>
  <c r="B36" i="14"/>
  <c r="H35" i="14"/>
  <c r="I33" i="8" l="1"/>
  <c r="I34" i="8" s="1"/>
  <c r="K34" i="8"/>
  <c r="K34" i="18"/>
  <c r="F36" i="8"/>
  <c r="E37" i="8"/>
  <c r="F37" i="8" s="1"/>
  <c r="I35" i="14"/>
  <c r="K35" i="14" s="1"/>
  <c r="L35" i="14" s="1"/>
  <c r="J34" i="14"/>
  <c r="F35" i="18"/>
  <c r="G35" i="18" s="1"/>
  <c r="H35" i="18" s="1"/>
  <c r="J35" i="18" s="1"/>
  <c r="K35" i="18" s="1"/>
  <c r="E36" i="18"/>
  <c r="B37" i="18"/>
  <c r="D36" i="18"/>
  <c r="I34" i="18"/>
  <c r="I33" i="17"/>
  <c r="B36" i="17"/>
  <c r="D35" i="17"/>
  <c r="E36" i="17"/>
  <c r="F35" i="17"/>
  <c r="G35" i="17" s="1"/>
  <c r="H34" i="17"/>
  <c r="J34" i="17" s="1"/>
  <c r="K34" i="17" s="1"/>
  <c r="C34" i="13"/>
  <c r="H34" i="13"/>
  <c r="B37" i="13"/>
  <c r="F36" i="13"/>
  <c r="G35" i="13"/>
  <c r="B37" i="14"/>
  <c r="E36" i="14"/>
  <c r="H36" i="14"/>
  <c r="G35" i="8"/>
  <c r="B36" i="8"/>
  <c r="D35" i="8"/>
  <c r="J35" i="14" l="1"/>
  <c r="I36" i="14"/>
  <c r="K36" i="14" s="1"/>
  <c r="L36" i="14" s="1"/>
  <c r="H35" i="8"/>
  <c r="J35" i="8" s="1"/>
  <c r="K35" i="8" s="1"/>
  <c r="D37" i="18"/>
  <c r="I35" i="18"/>
  <c r="E37" i="18"/>
  <c r="F37" i="18" s="1"/>
  <c r="G37" i="18" s="1"/>
  <c r="F36" i="18"/>
  <c r="G36" i="18" s="1"/>
  <c r="H36" i="18" s="1"/>
  <c r="J36" i="18" s="1"/>
  <c r="K36" i="18" s="1"/>
  <c r="E37" i="17"/>
  <c r="F37" i="17" s="1"/>
  <c r="F36" i="17"/>
  <c r="H35" i="17"/>
  <c r="J35" i="17" s="1"/>
  <c r="K35" i="17" s="1"/>
  <c r="B37" i="17"/>
  <c r="D36" i="17"/>
  <c r="G36" i="17"/>
  <c r="I34" i="17"/>
  <c r="I35" i="17" s="1"/>
  <c r="C35" i="13"/>
  <c r="H35" i="13"/>
  <c r="G36" i="8"/>
  <c r="D36" i="8"/>
  <c r="B37" i="8"/>
  <c r="B38" i="14"/>
  <c r="E37" i="14"/>
  <c r="H37" i="14"/>
  <c r="F37" i="13"/>
  <c r="G36" i="13"/>
  <c r="B38" i="13"/>
  <c r="I35" i="8" l="1"/>
  <c r="J36" i="14"/>
  <c r="I37" i="14"/>
  <c r="K37" i="14" s="1"/>
  <c r="L37" i="14" s="1"/>
  <c r="I36" i="18"/>
  <c r="H37" i="18"/>
  <c r="J37" i="18" s="1"/>
  <c r="G37" i="17"/>
  <c r="D37" i="17"/>
  <c r="H37" i="17" s="1"/>
  <c r="J37" i="17" s="1"/>
  <c r="I32" i="2" s="1"/>
  <c r="H36" i="17"/>
  <c r="J36" i="17" s="1"/>
  <c r="K36" i="17" s="1"/>
  <c r="C36" i="13"/>
  <c r="H36" i="13"/>
  <c r="G37" i="13"/>
  <c r="F38" i="13"/>
  <c r="G38" i="13" s="1"/>
  <c r="C38" i="13" s="1"/>
  <c r="G37" i="8"/>
  <c r="D37" i="8"/>
  <c r="H36" i="8"/>
  <c r="J36" i="8" s="1"/>
  <c r="K36" i="8" s="1"/>
  <c r="E38" i="14"/>
  <c r="H38" i="14"/>
  <c r="I36" i="8" l="1"/>
  <c r="H37" i="8"/>
  <c r="J37" i="8" s="1"/>
  <c r="I31" i="2" s="1"/>
  <c r="K37" i="18"/>
  <c r="I45" i="2" s="1"/>
  <c r="I33" i="2"/>
  <c r="J37" i="14"/>
  <c r="I38" i="14"/>
  <c r="K38" i="14" s="1"/>
  <c r="I37" i="18"/>
  <c r="I36" i="17"/>
  <c r="I37" i="17" s="1"/>
  <c r="K37" i="17"/>
  <c r="I44" i="2" s="1"/>
  <c r="K37" i="8"/>
  <c r="I43" i="2" s="1"/>
  <c r="C37" i="13"/>
  <c r="H37" i="13"/>
  <c r="H38" i="13"/>
  <c r="I37" i="8" l="1"/>
  <c r="L38" i="14"/>
  <c r="I48" i="2" s="1"/>
  <c r="I36" i="2"/>
  <c r="J38" i="14"/>
  <c r="D10" i="13" l="1"/>
  <c r="D20" i="13" s="1"/>
  <c r="E20" i="13" s="1"/>
  <c r="I20" i="13" s="1"/>
  <c r="K20" i="13" s="1"/>
  <c r="D37" i="13" l="1"/>
  <c r="E37" i="13" s="1"/>
  <c r="I37" i="13" s="1"/>
  <c r="K37" i="13" s="1"/>
  <c r="D30" i="13"/>
  <c r="E30" i="13" s="1"/>
  <c r="I30" i="13" s="1"/>
  <c r="K30" i="13" s="1"/>
  <c r="D29" i="13"/>
  <c r="E29" i="13" s="1"/>
  <c r="I29" i="13" s="1"/>
  <c r="K29" i="13" s="1"/>
  <c r="D36" i="13"/>
  <c r="E36" i="13" s="1"/>
  <c r="I36" i="13" s="1"/>
  <c r="K36" i="13" s="1"/>
  <c r="D32" i="13"/>
  <c r="E32" i="13" s="1"/>
  <c r="I32" i="13" s="1"/>
  <c r="K32" i="13" s="1"/>
  <c r="D21" i="13"/>
  <c r="E21" i="13" s="1"/>
  <c r="I21" i="13" s="1"/>
  <c r="K21" i="13" s="1"/>
  <c r="D14" i="13"/>
  <c r="F23" i="2" s="1"/>
  <c r="D26" i="13"/>
  <c r="E26" i="13" s="1"/>
  <c r="I26" i="13" s="1"/>
  <c r="K26" i="13" s="1"/>
  <c r="D16" i="13"/>
  <c r="E16" i="13" s="1"/>
  <c r="I16" i="13" s="1"/>
  <c r="K16" i="13" s="1"/>
  <c r="D17" i="13"/>
  <c r="E17" i="13" s="1"/>
  <c r="I17" i="13" s="1"/>
  <c r="K17" i="13" s="1"/>
  <c r="D28" i="13"/>
  <c r="E28" i="13" s="1"/>
  <c r="I28" i="13" s="1"/>
  <c r="K28" i="13" s="1"/>
  <c r="G34" i="2" s="1"/>
  <c r="D27" i="13"/>
  <c r="E27" i="13" s="1"/>
  <c r="I27" i="13" s="1"/>
  <c r="K27" i="13" s="1"/>
  <c r="D23" i="13"/>
  <c r="E23" i="13" s="1"/>
  <c r="I23" i="13" s="1"/>
  <c r="K23" i="13" s="1"/>
  <c r="F34" i="2" s="1"/>
  <c r="D33" i="13"/>
  <c r="E33" i="13" s="1"/>
  <c r="I33" i="13" s="1"/>
  <c r="K33" i="13" s="1"/>
  <c r="H34" i="2" s="1"/>
  <c r="D35" i="13"/>
  <c r="E35" i="13" s="1"/>
  <c r="I35" i="13" s="1"/>
  <c r="K35" i="13" s="1"/>
  <c r="D34" i="13"/>
  <c r="E34" i="13" s="1"/>
  <c r="I34" i="13" s="1"/>
  <c r="K34" i="13" s="1"/>
  <c r="D25" i="13"/>
  <c r="E25" i="13" s="1"/>
  <c r="I25" i="13" s="1"/>
  <c r="K25" i="13" s="1"/>
  <c r="D18" i="13"/>
  <c r="E18" i="13" s="1"/>
  <c r="I18" i="13" s="1"/>
  <c r="K18" i="13" s="1"/>
  <c r="E34" i="2" s="1"/>
  <c r="D24" i="13"/>
  <c r="E24" i="13" s="1"/>
  <c r="I24" i="13" s="1"/>
  <c r="K24" i="13" s="1"/>
  <c r="D31" i="13"/>
  <c r="E31" i="13" s="1"/>
  <c r="I31" i="13" s="1"/>
  <c r="K31" i="13" s="1"/>
  <c r="D38" i="13"/>
  <c r="E38" i="13" s="1"/>
  <c r="I38" i="13" s="1"/>
  <c r="K38" i="13" s="1"/>
  <c r="I34" i="2" s="1"/>
  <c r="D22" i="13"/>
  <c r="E22" i="13" s="1"/>
  <c r="I22" i="13" s="1"/>
  <c r="K22" i="13" s="1"/>
  <c r="D19" i="13"/>
  <c r="E19" i="13" s="1"/>
  <c r="I19" i="13" s="1"/>
  <c r="K19" i="13" s="1"/>
  <c r="D15" i="13"/>
  <c r="E15" i="13" s="1"/>
  <c r="I15" i="13" s="1"/>
  <c r="K15" i="13" s="1"/>
  <c r="D4" i="13" l="1"/>
  <c r="E14" i="13"/>
  <c r="I14" i="13" s="1"/>
  <c r="K14" i="13" l="1"/>
  <c r="L14" i="13" s="1"/>
  <c r="L15" i="13" s="1"/>
  <c r="L16" i="13" s="1"/>
  <c r="L17" i="13" s="1"/>
  <c r="L18" i="13" s="1"/>
  <c r="J14" i="13"/>
  <c r="J15" i="13" s="1"/>
  <c r="J16" i="13" s="1"/>
  <c r="J17" i="13" s="1"/>
  <c r="J18" i="13" s="1"/>
  <c r="J19" i="13" s="1"/>
  <c r="J20" i="13" s="1"/>
  <c r="J21" i="13" s="1"/>
  <c r="J22" i="13" s="1"/>
  <c r="J23" i="13" s="1"/>
  <c r="J24" i="13" s="1"/>
  <c r="J25" i="13" s="1"/>
  <c r="J26" i="13" s="1"/>
  <c r="J27" i="13" s="1"/>
  <c r="J28" i="13" s="1"/>
  <c r="J29" i="13" s="1"/>
  <c r="J30" i="13" s="1"/>
  <c r="J31" i="13" s="1"/>
  <c r="J32" i="13" s="1"/>
  <c r="J33" i="13" s="1"/>
  <c r="J34" i="13" s="1"/>
  <c r="J35" i="13" s="1"/>
  <c r="J36" i="13" s="1"/>
  <c r="J37" i="13" s="1"/>
  <c r="J38" i="13" s="1"/>
  <c r="L19" i="13"/>
  <c r="L20" i="13" s="1"/>
  <c r="L21" i="13" s="1"/>
  <c r="L22" i="13" s="1"/>
  <c r="L23" i="13" s="1"/>
  <c r="E46" i="2"/>
  <c r="L24" i="13" l="1"/>
  <c r="L25" i="13" s="1"/>
  <c r="L26" i="13" s="1"/>
  <c r="L27" i="13" s="1"/>
  <c r="L28" i="13" s="1"/>
  <c r="F46" i="2"/>
  <c r="L29" i="13" l="1"/>
  <c r="L30" i="13" s="1"/>
  <c r="L31" i="13" s="1"/>
  <c r="L32" i="13" s="1"/>
  <c r="L33" i="13" s="1"/>
  <c r="G46" i="2"/>
  <c r="L34" i="13" l="1"/>
  <c r="L35" i="13" s="1"/>
  <c r="L36" i="13" s="1"/>
  <c r="L37" i="13" s="1"/>
  <c r="L38" i="13" s="1"/>
  <c r="I46" i="2" s="1"/>
  <c r="H46" i="2"/>
</calcChain>
</file>

<file path=xl/sharedStrings.xml><?xml version="1.0" encoding="utf-8"?>
<sst xmlns="http://schemas.openxmlformats.org/spreadsheetml/2006/main" count="339" uniqueCount="145">
  <si>
    <t>How will a community solar subscription work out for you financially?</t>
  </si>
  <si>
    <t>Compare costs and savings for multiple solar garden proposals in Xcel Energy territory</t>
  </si>
  <si>
    <t>Values (edit)</t>
  </si>
  <si>
    <t>Units</t>
  </si>
  <si>
    <t>What your desired subscription in kilowatt-hours (kWh) per year?</t>
  </si>
  <si>
    <t>kWh /year</t>
  </si>
  <si>
    <t>per kWh</t>
  </si>
  <si>
    <r>
      <t xml:space="preserve">What is the payment rate on Renewable Energy Credits (REC) for your CSG?
</t>
    </r>
    <r>
      <rPr>
        <i/>
        <sz val="11"/>
        <color theme="1"/>
        <rFont val="Calibri"/>
        <family val="2"/>
        <scheme val="minor"/>
      </rPr>
      <t>($.02 for gardens &gt; 250 kW) or ($.03 for gardens &lt; or = to 250 kW)</t>
    </r>
  </si>
  <si>
    <t>per year</t>
  </si>
  <si>
    <t>Based on your yearly kWh value above, this is roughly the subscription size you will need to cover that level of electricity usage.</t>
  </si>
  <si>
    <t>What is the ballpark size of the panel being used by the garden developer?</t>
  </si>
  <si>
    <t>Approximate number of panels needed for your desired subscription size.</t>
  </si>
  <si>
    <t>panels</t>
  </si>
  <si>
    <t>Payment Structure</t>
  </si>
  <si>
    <t>Proposal #</t>
  </si>
  <si>
    <t>Proposal Name</t>
  </si>
  <si>
    <t>Starting Rate</t>
  </si>
  <si>
    <t>Escalator</t>
  </si>
  <si>
    <t>Discount Rate</t>
  </si>
  <si>
    <t>N/A</t>
  </si>
  <si>
    <r>
      <t xml:space="preserve">Based on your subscription amount and assumptions of future electricity prices, your MONTHLY financial savings or </t>
    </r>
    <r>
      <rPr>
        <sz val="12"/>
        <color rgb="FFC00000"/>
        <rFont val="Calibri"/>
        <family val="2"/>
        <scheme val="minor"/>
      </rPr>
      <t>costs</t>
    </r>
    <r>
      <rPr>
        <sz val="12"/>
        <rFont val="Calibri"/>
        <family val="2"/>
        <scheme val="minor"/>
      </rPr>
      <t xml:space="preserve"> as a result of your subscription are below for each proposal. </t>
    </r>
    <r>
      <rPr>
        <b/>
        <sz val="12"/>
        <rFont val="Calibri"/>
        <family val="2"/>
        <scheme val="minor"/>
      </rPr>
      <t xml:space="preserve">This is the </t>
    </r>
    <r>
      <rPr>
        <b/>
        <i/>
        <sz val="12"/>
        <rFont val="Calibri"/>
        <family val="2"/>
        <scheme val="minor"/>
      </rPr>
      <t>monthly</t>
    </r>
    <r>
      <rPr>
        <b/>
        <sz val="12"/>
        <rFont val="Calibri"/>
        <family val="2"/>
        <scheme val="minor"/>
      </rPr>
      <t xml:space="preserve"> difference between your  bill credit and your payment to the developer at specific points in time.</t>
    </r>
  </si>
  <si>
    <t>#</t>
  </si>
  <si>
    <t>Year 5
$ per month</t>
  </si>
  <si>
    <t>Year 10
$ per month</t>
  </si>
  <si>
    <t>Year 15
$ per month</t>
  </si>
  <si>
    <t>Year 20
$ per month</t>
  </si>
  <si>
    <t>Year 25
$ per month</t>
  </si>
  <si>
    <t>NOTE: If you entered a Discount Rate in cell H12 above, these results will show Net Present Value. If you left the Discount Rate at 0%, these results will show simple savings.</t>
  </si>
  <si>
    <r>
      <t xml:space="preserve">Based on your subscription amount and assumptions of future electricity prices, your CUMULATIVE financial savings or </t>
    </r>
    <r>
      <rPr>
        <sz val="12"/>
        <color rgb="FFC00000"/>
        <rFont val="Calibri"/>
        <family val="2"/>
        <scheme val="minor"/>
      </rPr>
      <t>costs</t>
    </r>
    <r>
      <rPr>
        <sz val="12"/>
        <rFont val="Calibri"/>
        <family val="2"/>
        <scheme val="minor"/>
      </rPr>
      <t xml:space="preserve"> as a result of your subscription are below. </t>
    </r>
    <r>
      <rPr>
        <b/>
        <sz val="12"/>
        <rFont val="Calibri"/>
        <family val="2"/>
        <scheme val="minor"/>
      </rPr>
      <t xml:space="preserve">This is the </t>
    </r>
    <r>
      <rPr>
        <b/>
        <i/>
        <sz val="12"/>
        <rFont val="Calibri"/>
        <family val="2"/>
        <scheme val="minor"/>
      </rPr>
      <t>cumulative</t>
    </r>
    <r>
      <rPr>
        <b/>
        <sz val="12"/>
        <rFont val="Calibri"/>
        <family val="2"/>
        <scheme val="minor"/>
      </rPr>
      <t xml:space="preserve"> difference between your bill credits and your payments to the developer at specific points in time.</t>
    </r>
  </si>
  <si>
    <t>Savings after 5 years</t>
  </si>
  <si>
    <t>Savings after 10 years</t>
  </si>
  <si>
    <t>Savings after 15 years</t>
  </si>
  <si>
    <t>Savings after 20 years</t>
  </si>
  <si>
    <t>Savings after 25 years</t>
  </si>
  <si>
    <t>Graph: Electricity Rates Over 25 Years Based on Subscriber Input Values</t>
  </si>
  <si>
    <t>Subscription in Yearly Use in Kw Hrs</t>
  </si>
  <si>
    <t>Initial Applicable Retail Rate</t>
  </si>
  <si>
    <t>Annual REC Payment</t>
  </si>
  <si>
    <t>Xcel Assumed Escalation Rate</t>
  </si>
  <si>
    <t>Resulting Escalation Rate Tested</t>
  </si>
  <si>
    <t>PAY AS YOU GO</t>
  </si>
  <si>
    <t>Xcel Bill w/ no solar (avg use kW hr per m)</t>
  </si>
  <si>
    <t>Annual Elecrical Expenditure based on</t>
  </si>
  <si>
    <r>
      <t>** Starting Bill Credit rate ($/kWh) is determined by the billing rate listed on the bill for each premise
(</t>
    </r>
    <r>
      <rPr>
        <u/>
        <sz val="11"/>
        <color theme="3"/>
        <rFont val="Calibri"/>
        <family val="2"/>
        <scheme val="minor"/>
      </rPr>
      <t>click here for a full list of eligible billing rates</t>
    </r>
    <r>
      <rPr>
        <sz val="11"/>
        <rFont val="Calibri"/>
        <family val="2"/>
        <scheme val="minor"/>
      </rPr>
      <t>)</t>
    </r>
  </si>
  <si>
    <t>residential customer class</t>
  </si>
  <si>
    <t>small general service customer class</t>
  </si>
  <si>
    <t>demand metered customer class</t>
  </si>
  <si>
    <t>*** REC Payment Rate Options are determined by garden size</t>
  </si>
  <si>
    <t>No REC</t>
  </si>
  <si>
    <t>&gt;250 kW gardens</t>
  </si>
  <si>
    <t>≤ 250 kW gardens</t>
  </si>
  <si>
    <t>Subscription Sizing Calculations</t>
  </si>
  <si>
    <t>Value</t>
  </si>
  <si>
    <t>Unit</t>
  </si>
  <si>
    <t>Notes</t>
  </si>
  <si>
    <t>Average utility use (per Month)</t>
  </si>
  <si>
    <t>kWh</t>
  </si>
  <si>
    <t>converted to watt hours per month</t>
  </si>
  <si>
    <t>watt hours</t>
  </si>
  <si>
    <t>x1000</t>
  </si>
  <si>
    <t>converted to watt hours/ day</t>
  </si>
  <si>
    <t>watt hours-day</t>
  </si>
  <si>
    <t>div 30</t>
  </si>
  <si>
    <t>Divide solar watt hours/day by average insolation</t>
  </si>
  <si>
    <t>watts</t>
  </si>
  <si>
    <t>The solar radiation value used to rate panels is 1 kW/m2 and thus the results are in watts.</t>
  </si>
  <si>
    <t>div 4.4</t>
  </si>
  <si>
    <t>De-rate (0.77)</t>
  </si>
  <si>
    <t>Derate Factor = 0.77 (NREL)</t>
  </si>
  <si>
    <t>div 0.77</t>
  </si>
  <si>
    <t>convert back to kWh</t>
  </si>
  <si>
    <t>kW</t>
  </si>
  <si>
    <t>div 1000</t>
  </si>
  <si>
    <t>panel sizes</t>
  </si>
  <si>
    <t>Name:</t>
  </si>
  <si>
    <t>Subscription Terms</t>
  </si>
  <si>
    <t>Desired Subscription Size (kWh annually)</t>
  </si>
  <si>
    <t>Starting rate paid to developer ($/kWh)</t>
  </si>
  <si>
    <t>Find in subscription agreement</t>
  </si>
  <si>
    <t>Starting Bill Credit rate ($/kWh)</t>
  </si>
  <si>
    <t>Determined by premise type (see footnotes on Welcome tab)</t>
  </si>
  <si>
    <t>REC Payment ($/kWh)</t>
  </si>
  <si>
    <t>See footnotes on Welcome tab</t>
  </si>
  <si>
    <t>Subscription payment escalator</t>
  </si>
  <si>
    <t>Find in subscription agreement (if there is an escalator)</t>
  </si>
  <si>
    <t>Panel degradation factor</t>
  </si>
  <si>
    <t>Industry Standard is .5%</t>
  </si>
  <si>
    <t>Expected annual electricity price increase</t>
  </si>
  <si>
    <t>This affects the bill credit rate over time</t>
  </si>
  <si>
    <t>Ask your Finance Director what rate to use here (Met Council uses 4%)</t>
  </si>
  <si>
    <t>Year</t>
  </si>
  <si>
    <t>Expected Annual Production (kWh)</t>
  </si>
  <si>
    <t>Subscription Rate ($/kWh)</t>
  </si>
  <si>
    <t>Paid to Developer Annually</t>
  </si>
  <si>
    <t>Bill Credit Rate</t>
  </si>
  <si>
    <t>Bill Credit Rate w/ RECs</t>
  </si>
  <si>
    <t>Received in Bill Credits Annually</t>
  </si>
  <si>
    <t>Annual Savings (Simple)</t>
  </si>
  <si>
    <t>Cumulative Savings (Simple)</t>
  </si>
  <si>
    <t>Annual Savings (NPV)</t>
  </si>
  <si>
    <t>Cumulative Savings (NPV)</t>
  </si>
  <si>
    <t>Expected Annual Production from Subscription in Year 1 (kWh)</t>
  </si>
  <si>
    <t>Row 3 x Row 4</t>
  </si>
  <si>
    <t>This affects the bill credit rate</t>
  </si>
  <si>
    <t>Bill Credit Discount for Sub. Rate ($)</t>
  </si>
  <si>
    <t>Subscription rate is Bill Credit less this amount</t>
  </si>
  <si>
    <t>Sub. Rate Floor</t>
  </si>
  <si>
    <t>Only applies if indicated in subscription agreement, otherwise keep at 0</t>
  </si>
  <si>
    <t>Subscription Rate NO FLOOR ($/kWh)</t>
  </si>
  <si>
    <t>Subscription Rate WITH FLOOR</t>
  </si>
  <si>
    <t>Bill Credit Discount for Sub. Rate (%)</t>
  </si>
  <si>
    <t>Minimum subscription rate</t>
  </si>
  <si>
    <t>What discount rate would you like to apply to the savings projections below?</t>
  </si>
  <si>
    <t>Discount Amount</t>
  </si>
  <si>
    <t xml:space="preserve">Rate Floor </t>
  </si>
  <si>
    <t>BILL CREDIT RATE (Tested)</t>
  </si>
  <si>
    <t>BILL CREDIT RATE (Historic)</t>
  </si>
  <si>
    <t>PROPOSAL 1</t>
  </si>
  <si>
    <t>PROPOSAL 2</t>
  </si>
  <si>
    <t>PROPOSAL 3</t>
  </si>
  <si>
    <t>PROPOSAL 4</t>
  </si>
  <si>
    <t>PROPOSAL 5</t>
  </si>
  <si>
    <t>PROPOSAL 6</t>
  </si>
  <si>
    <t>PROPOSAL 7</t>
  </si>
  <si>
    <r>
      <rPr>
        <b/>
        <sz val="11"/>
        <color theme="1"/>
        <rFont val="Calibri"/>
        <family val="2"/>
        <scheme val="minor"/>
      </rPr>
      <t>$ Discount</t>
    </r>
    <r>
      <rPr>
        <sz val="11"/>
        <color theme="1"/>
        <rFont val="Calibri"/>
        <family val="2"/>
        <scheme val="minor"/>
      </rPr>
      <t xml:space="preserve"> (Predictable Savings)</t>
    </r>
  </si>
  <si>
    <t xml:space="preserve"> </t>
  </si>
  <si>
    <t>% Discount</t>
  </si>
  <si>
    <r>
      <rPr>
        <b/>
        <sz val="11"/>
        <color theme="1"/>
        <rFont val="Calibri"/>
        <family val="2"/>
        <scheme val="minor"/>
      </rPr>
      <t>Flat/Escalated</t>
    </r>
    <r>
      <rPr>
        <sz val="11"/>
        <color theme="1"/>
        <rFont val="Calibri"/>
        <family val="2"/>
        <scheme val="minor"/>
      </rPr>
      <t xml:space="preserve"> (Predictable Payment)</t>
    </r>
  </si>
  <si>
    <t>kW (AC)</t>
  </si>
  <si>
    <t>watts/panel</t>
  </si>
  <si>
    <t>Proposal 1 (escalator)</t>
  </si>
  <si>
    <t>Proposal 2 (escalator)</t>
  </si>
  <si>
    <t>Proposal 3 (escalator)</t>
  </si>
  <si>
    <t>Proposal 4 ($ discount)</t>
  </si>
  <si>
    <t>Proposal 5 ($ discount)</t>
  </si>
  <si>
    <t>Proposal 6 (% discount)</t>
  </si>
  <si>
    <t>Proposal 7 (% discount)</t>
  </si>
  <si>
    <t>YOUR prediction of the average annual increase in the cost of electricity over the next 25 years (HINT: The average annual escalation of electric rates for Xcel Energy from 2000-2014 was 3.5%)</t>
  </si>
  <si>
    <t>What Applicable Retail Rate (ARR) is paid per kWh at the start of your contract?
($0.13310 residential; $0.12798 small commercial.; $0.10296 large commercial)</t>
  </si>
  <si>
    <t>BOX 1: Subscriber Inputs and Hints (click on text below to learn more)</t>
  </si>
  <si>
    <t>BOX 2: Approximate size of community solar subscription</t>
  </si>
  <si>
    <t>BOX 3: Proposals for Comparison (click on cells for hints)</t>
  </si>
  <si>
    <t>BOX 4: Monthly Advantage or Disadvantage over 25 Years</t>
  </si>
  <si>
    <t>Box 5: Cumulative Advantage or Disadvantage over 25 Years</t>
  </si>
  <si>
    <r>
      <rPr>
        <b/>
        <sz val="11"/>
        <color theme="1"/>
        <rFont val="Calibri"/>
        <family val="2"/>
        <scheme val="minor"/>
      </rPr>
      <t xml:space="preserve">Overview: </t>
    </r>
    <r>
      <rPr>
        <sz val="11"/>
        <color theme="1"/>
        <rFont val="Calibri"/>
        <family val="2"/>
        <scheme val="minor"/>
      </rPr>
      <t xml:space="preserve">You can use this tool to compare multiple Community Solar Garden (CSG) subscription proposals under the same set of assumptions by entering information into boxes 1 and 3 below. If you get stuck, trying clicking on that cell for a hint. 
</t>
    </r>
    <r>
      <rPr>
        <b/>
        <sz val="11"/>
        <color theme="1"/>
        <rFont val="Calibri"/>
        <family val="2"/>
        <scheme val="minor"/>
      </rPr>
      <t>Understanding Scenarios</t>
    </r>
    <r>
      <rPr>
        <sz val="11"/>
        <color theme="1"/>
        <rFont val="Calibri"/>
        <family val="2"/>
        <scheme val="minor"/>
      </rPr>
      <t>: No one knows for sure how electricity prices will increase over the next 25 years. Lots of factors including fuel costs, emissions regulations, emerging power generation technologies, and public policies will affect the rates. Nevertheless, a CSG subscription offers you an opportunity to support solar development and save money. Based on the amount of power in your subscription and your assumptions about future electricity prices, this decision tool will calculate the financial advantage or disadvantage of multiple opporutnities for participating in a solar garden.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</si>
</sst>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8" formatCode="&quot;$&quot;#,##0.00_);[Red]\(&quot;$&quot;#,##0.00\)"/>
    <numFmt numFmtId="44" formatCode="_(&quot;$&quot;* #,##0.00_);_(&quot;$&quot;* \(#,##0.00\);_(&quot;$&quot;* &quot;-&quot;??_);_(@_)"/>
    <numFmt numFmtId="43" formatCode="_(* #,##0.00_);_(* \(#,##0.00\);_(* &quot;-&quot;??_);_(@_)"/>
    <numFmt numFmtId="164" formatCode="&quot;$&quot;#,##0.00"/>
    <numFmt numFmtId="165" formatCode="0.000"/>
    <numFmt numFmtId="166" formatCode="0.000000"/>
    <numFmt numFmtId="167" formatCode="_(* #,##0_);_(* \(#,##0\);_(* &quot;-&quot;??_);_(@_)"/>
    <numFmt numFmtId="168" formatCode="0.00000"/>
    <numFmt numFmtId="169" formatCode="_(&quot;$&quot;* #,##0.00000_);_(&quot;$&quot;* \(#,##0.00000\);_(&quot;$&quot;* &quot;-&quot;??_);_(@_)"/>
    <numFmt numFmtId="170" formatCode="0.0"/>
    <numFmt numFmtId="171" formatCode="0.0000"/>
    <numFmt numFmtId="172" formatCode="[$$-409]#,##0.00_);\([$$-409]#,##0.00\)"/>
    <numFmt numFmtId="173" formatCode="&quot;$&quot;#,##0.0000"/>
    <numFmt numFmtId="174" formatCode="&quot;$&quot;#,##0.00000"/>
    <numFmt numFmtId="175" formatCode="0.000%"/>
    <numFmt numFmtId="176" formatCode="&quot;$&quot;#,##0.000"/>
    <numFmt numFmtId="177" formatCode="&quot;$&quot;#,##0"/>
    <numFmt numFmtId="178" formatCode="_(&quot;$&quot;* #,##0.0000_);_(&quot;$&quot;* \(#,##0.0000\);_(&quot;$&quot;* &quot;-&quot;??_);_(@_)"/>
    <numFmt numFmtId="179" formatCode="0.0%"/>
    <numFmt numFmtId="180" formatCode="&quot;$&quot;#,##0.000_);[Red]\(&quot;$&quot;#,##0.000\)"/>
    <numFmt numFmtId="181" formatCode="&quot;$&quot;#,##0.0000_);[Red]\(&quot;$&quot;#,##0.0000\)"/>
  </numFmts>
  <fonts count="25" x14ac:knownFonts="1">
    <font>
      <sz val="11"/>
      <color theme="1"/>
      <name val="Calibri"/>
      <family val="2"/>
      <scheme val="minor"/>
    </font>
    <font>
      <b/>
      <sz val="11"/>
      <color theme="1"/>
      <name val="Calibri"/>
      <family val="2"/>
      <scheme val="minor"/>
    </font>
    <font>
      <b/>
      <sz val="10"/>
      <color theme="1"/>
      <name val="Calibri"/>
      <family val="2"/>
      <scheme val="minor"/>
    </font>
    <font>
      <sz val="11"/>
      <color theme="1"/>
      <name val="Calibri"/>
      <family val="2"/>
      <scheme val="minor"/>
    </font>
    <font>
      <b/>
      <sz val="22"/>
      <color theme="1"/>
      <name val="Calibri"/>
      <family val="2"/>
      <scheme val="minor"/>
    </font>
    <font>
      <b/>
      <sz val="26"/>
      <color theme="1"/>
      <name val="Calibri"/>
      <family val="2"/>
      <scheme val="minor"/>
    </font>
    <font>
      <b/>
      <sz val="14"/>
      <color theme="1"/>
      <name val="Calibri"/>
      <family val="2"/>
      <scheme val="minor"/>
    </font>
    <font>
      <sz val="12"/>
      <color theme="1"/>
      <name val="Calibri"/>
      <family val="2"/>
      <scheme val="minor"/>
    </font>
    <font>
      <b/>
      <sz val="16"/>
      <color theme="1"/>
      <name val="Calibri"/>
      <family val="2"/>
      <scheme val="minor"/>
    </font>
    <font>
      <b/>
      <sz val="12"/>
      <color theme="1"/>
      <name val="Calibri"/>
      <family val="2"/>
      <scheme val="minor"/>
    </font>
    <font>
      <b/>
      <sz val="12"/>
      <color theme="0"/>
      <name val="Calibri"/>
      <family val="2"/>
      <scheme val="minor"/>
    </font>
    <font>
      <b/>
      <i/>
      <sz val="14"/>
      <color theme="1"/>
      <name val="Calibri"/>
      <family val="2"/>
      <scheme val="minor"/>
    </font>
    <font>
      <i/>
      <sz val="11"/>
      <color theme="1"/>
      <name val="Calibri"/>
      <family val="2"/>
      <scheme val="minor"/>
    </font>
    <font>
      <sz val="12"/>
      <name val="Calibri"/>
      <family val="2"/>
      <scheme val="minor"/>
    </font>
    <font>
      <sz val="12"/>
      <color rgb="FFC00000"/>
      <name val="Calibri"/>
      <family val="2"/>
      <scheme val="minor"/>
    </font>
    <font>
      <u/>
      <sz val="11"/>
      <color theme="10"/>
      <name val="Calibri"/>
      <family val="2"/>
      <scheme val="minor"/>
    </font>
    <font>
      <sz val="11"/>
      <name val="Calibri"/>
      <family val="2"/>
      <scheme val="minor"/>
    </font>
    <font>
      <u/>
      <sz val="11"/>
      <color theme="3"/>
      <name val="Calibri"/>
      <family val="2"/>
      <scheme val="minor"/>
    </font>
    <font>
      <b/>
      <sz val="16"/>
      <color theme="0"/>
      <name val="Calibri"/>
      <family val="2"/>
      <scheme val="minor"/>
    </font>
    <font>
      <sz val="16"/>
      <color theme="0"/>
      <name val="Calibri"/>
      <family val="2"/>
      <scheme val="minor"/>
    </font>
    <font>
      <sz val="16"/>
      <color theme="1"/>
      <name val="Calibri"/>
      <family val="2"/>
      <scheme val="minor"/>
    </font>
    <font>
      <sz val="11"/>
      <color rgb="FF000000"/>
      <name val="Calibri"/>
      <family val="2"/>
      <scheme val="minor"/>
    </font>
    <font>
      <sz val="14"/>
      <color theme="1"/>
      <name val="Calibri"/>
      <family val="2"/>
      <scheme val="minor"/>
    </font>
    <font>
      <b/>
      <sz val="12"/>
      <name val="Calibri"/>
      <family val="2"/>
      <scheme val="minor"/>
    </font>
    <font>
      <b/>
      <i/>
      <sz val="12"/>
      <name val="Calibri"/>
      <family val="2"/>
      <scheme val="minor"/>
    </font>
  </fonts>
  <fills count="25">
    <fill>
      <patternFill patternType="none"/>
    </fill>
    <fill>
      <patternFill patternType="gray125"/>
    </fill>
    <fill>
      <patternFill patternType="solid">
        <fgColor theme="0" tint="-4.9989318521683403E-2"/>
        <bgColor indexed="64"/>
      </patternFill>
    </fill>
    <fill>
      <patternFill patternType="solid">
        <fgColor rgb="FF99FF99"/>
        <bgColor indexed="64"/>
      </patternFill>
    </fill>
    <fill>
      <patternFill patternType="solid">
        <fgColor rgb="FFFFFF00"/>
        <bgColor indexed="64"/>
      </patternFill>
    </fill>
    <fill>
      <patternFill patternType="solid">
        <fgColor theme="3" tint="0.59999389629810485"/>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rgb="FFFF0000"/>
        <bgColor indexed="64"/>
      </patternFill>
    </fill>
    <fill>
      <patternFill patternType="solid">
        <fgColor rgb="FFF3C3EA"/>
        <bgColor indexed="64"/>
      </patternFill>
    </fill>
    <fill>
      <patternFill patternType="solid">
        <fgColor theme="6" tint="0.39997558519241921"/>
        <bgColor indexed="64"/>
      </patternFill>
    </fill>
    <fill>
      <patternFill patternType="solid">
        <fgColor rgb="FF005397"/>
        <bgColor indexed="64"/>
      </patternFill>
    </fill>
    <fill>
      <patternFill patternType="solid">
        <fgColor rgb="FFE4B53A"/>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rgb="FF76A240"/>
        <bgColor indexed="64"/>
      </patternFill>
    </fill>
    <fill>
      <patternFill patternType="solid">
        <fgColor theme="6" tint="-0.499984740745262"/>
        <bgColor indexed="64"/>
      </patternFill>
    </fill>
    <fill>
      <patternFill patternType="solid">
        <fgColor theme="9" tint="-0.499984740745262"/>
        <bgColor indexed="64"/>
      </patternFill>
    </fill>
    <fill>
      <patternFill patternType="solid">
        <fgColor theme="0" tint="-0.34998626667073579"/>
        <bgColor indexed="64"/>
      </patternFill>
    </fill>
    <fill>
      <patternFill patternType="solid">
        <fgColor theme="1" tint="0.499984740745262"/>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auto="1"/>
      </right>
      <top/>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s>
  <cellStyleXfs count="5">
    <xf numFmtId="0" fontId="0" fillId="0" borderId="0"/>
    <xf numFmtId="44" fontId="3" fillId="0" borderId="0" applyFont="0" applyFill="0" applyBorder="0" applyAlignment="0" applyProtection="0"/>
    <xf numFmtId="43" fontId="3" fillId="0" borderId="0" applyFont="0" applyFill="0" applyBorder="0" applyAlignment="0" applyProtection="0"/>
    <xf numFmtId="0" fontId="15" fillId="0" borderId="0" applyNumberFormat="0" applyFill="0" applyBorder="0" applyAlignment="0" applyProtection="0"/>
    <xf numFmtId="9" fontId="3" fillId="0" borderId="0" applyFont="0" applyFill="0" applyBorder="0" applyAlignment="0" applyProtection="0"/>
  </cellStyleXfs>
  <cellXfs count="242">
    <xf numFmtId="0" fontId="0" fillId="0" borderId="0" xfId="0"/>
    <xf numFmtId="0" fontId="1" fillId="2" borderId="0" xfId="0" applyFont="1" applyFill="1"/>
    <xf numFmtId="0" fontId="1" fillId="2" borderId="0" xfId="0" applyFont="1" applyFill="1" applyAlignment="1">
      <alignment wrapText="1"/>
    </xf>
    <xf numFmtId="164" fontId="0" fillId="0" borderId="0" xfId="0" applyNumberFormat="1"/>
    <xf numFmtId="3" fontId="0" fillId="0" borderId="0" xfId="0" applyNumberFormat="1"/>
    <xf numFmtId="0" fontId="0" fillId="2" borderId="0" xfId="0" applyFill="1"/>
    <xf numFmtId="0" fontId="0" fillId="0" borderId="0" xfId="0" applyFill="1"/>
    <xf numFmtId="0" fontId="1" fillId="0" borderId="0" xfId="0" applyFont="1" applyFill="1" applyAlignment="1">
      <alignment wrapText="1"/>
    </xf>
    <xf numFmtId="0" fontId="0" fillId="0" borderId="0" xfId="0" applyFont="1" applyFill="1" applyAlignment="1">
      <alignment wrapText="1"/>
    </xf>
    <xf numFmtId="0" fontId="0" fillId="0" borderId="0" xfId="0" applyFont="1" applyFill="1" applyAlignment="1"/>
    <xf numFmtId="0" fontId="1" fillId="0" borderId="0" xfId="0" applyFont="1" applyFill="1" applyAlignment="1">
      <alignment horizontal="center" wrapText="1"/>
    </xf>
    <xf numFmtId="44" fontId="0" fillId="7" borderId="0" xfId="1" applyNumberFormat="1" applyFont="1" applyFill="1"/>
    <xf numFmtId="0" fontId="1" fillId="8" borderId="0" xfId="0" applyFont="1" applyFill="1" applyAlignment="1">
      <alignment wrapText="1"/>
    </xf>
    <xf numFmtId="0" fontId="1" fillId="9" borderId="0" xfId="0" applyFont="1" applyFill="1" applyAlignment="1">
      <alignment wrapText="1"/>
    </xf>
    <xf numFmtId="4" fontId="0" fillId="9" borderId="0" xfId="0" applyNumberFormat="1" applyFill="1"/>
    <xf numFmtId="4" fontId="0" fillId="9" borderId="0" xfId="0" applyNumberFormat="1" applyFill="1" applyBorder="1"/>
    <xf numFmtId="0" fontId="0" fillId="8" borderId="0" xfId="0" applyFill="1"/>
    <xf numFmtId="0" fontId="5" fillId="8" borderId="6" xfId="0" applyFont="1" applyFill="1" applyBorder="1" applyAlignment="1">
      <alignment wrapText="1"/>
    </xf>
    <xf numFmtId="167" fontId="1" fillId="0" borderId="0" xfId="2" applyNumberFormat="1" applyFont="1" applyFill="1" applyAlignment="1">
      <alignment wrapText="1"/>
    </xf>
    <xf numFmtId="0" fontId="1" fillId="8" borderId="0" xfId="0" applyFont="1" applyFill="1"/>
    <xf numFmtId="0" fontId="2" fillId="8" borderId="0" xfId="0" applyFont="1" applyFill="1"/>
    <xf numFmtId="0" fontId="1" fillId="8" borderId="1" xfId="0" applyFont="1" applyFill="1" applyBorder="1"/>
    <xf numFmtId="0" fontId="1" fillId="8" borderId="3" xfId="0" applyFont="1" applyFill="1" applyBorder="1"/>
    <xf numFmtId="44" fontId="1" fillId="8" borderId="4" xfId="1" applyFont="1" applyFill="1" applyBorder="1"/>
    <xf numFmtId="10" fontId="0" fillId="8" borderId="0" xfId="0" applyNumberFormat="1" applyFill="1"/>
    <xf numFmtId="164" fontId="0" fillId="8" borderId="0" xfId="0" applyNumberFormat="1" applyFill="1"/>
    <xf numFmtId="0" fontId="1" fillId="8" borderId="0" xfId="0" applyFont="1" applyFill="1" applyAlignment="1">
      <alignment horizontal="center" wrapText="1"/>
    </xf>
    <xf numFmtId="0" fontId="0" fillId="8" borderId="0" xfId="0" applyFont="1" applyFill="1" applyAlignment="1">
      <alignment wrapText="1"/>
    </xf>
    <xf numFmtId="0" fontId="0" fillId="8" borderId="0" xfId="0" applyFont="1" applyFill="1" applyAlignment="1"/>
    <xf numFmtId="0" fontId="0" fillId="8" borderId="0" xfId="0" applyFont="1" applyFill="1" applyAlignment="1">
      <alignment horizontal="center" wrapText="1"/>
    </xf>
    <xf numFmtId="3" fontId="0" fillId="8" borderId="0" xfId="0" applyNumberFormat="1" applyFill="1" applyAlignment="1">
      <alignment horizontal="center"/>
    </xf>
    <xf numFmtId="165" fontId="0" fillId="8" borderId="0" xfId="0" applyNumberFormat="1" applyFill="1" applyAlignment="1">
      <alignment horizontal="center"/>
    </xf>
    <xf numFmtId="0" fontId="0" fillId="8" borderId="0" xfId="0" applyFill="1" applyAlignment="1">
      <alignment horizontal="center"/>
    </xf>
    <xf numFmtId="166" fontId="0" fillId="8" borderId="0" xfId="0" applyNumberFormat="1" applyFill="1"/>
    <xf numFmtId="4" fontId="0" fillId="8" borderId="0" xfId="0" applyNumberFormat="1" applyFill="1"/>
    <xf numFmtId="3" fontId="0" fillId="8" borderId="0" xfId="0" applyNumberFormat="1" applyFill="1"/>
    <xf numFmtId="0" fontId="1" fillId="8" borderId="0" xfId="0" applyFont="1" applyFill="1" applyBorder="1"/>
    <xf numFmtId="0" fontId="0" fillId="8" borderId="0" xfId="0" applyFill="1" applyBorder="1"/>
    <xf numFmtId="0" fontId="2" fillId="8" borderId="0" xfId="0" applyFont="1" applyFill="1" applyBorder="1"/>
    <xf numFmtId="9" fontId="0" fillId="8" borderId="0" xfId="0" applyNumberFormat="1" applyFill="1" applyBorder="1"/>
    <xf numFmtId="0" fontId="5" fillId="8" borderId="0" xfId="0" applyFont="1" applyFill="1" applyBorder="1" applyAlignment="1">
      <alignment wrapText="1"/>
    </xf>
    <xf numFmtId="164" fontId="0" fillId="8" borderId="0" xfId="0" applyNumberFormat="1" applyFill="1" applyBorder="1"/>
    <xf numFmtId="0" fontId="7" fillId="0" borderId="0" xfId="0" applyFont="1"/>
    <xf numFmtId="0" fontId="9" fillId="0" borderId="0" xfId="0" applyFont="1" applyFill="1"/>
    <xf numFmtId="0" fontId="9" fillId="2" borderId="0" xfId="0" applyFont="1" applyFill="1"/>
    <xf numFmtId="0" fontId="7" fillId="0" borderId="0" xfId="0" applyFont="1" applyFill="1"/>
    <xf numFmtId="0" fontId="9" fillId="0" borderId="0" xfId="0" applyFont="1" applyFill="1" applyAlignment="1">
      <alignment horizontal="center"/>
    </xf>
    <xf numFmtId="0" fontId="9" fillId="2" borderId="0" xfId="0" applyFont="1" applyFill="1" applyAlignment="1">
      <alignment wrapText="1"/>
    </xf>
    <xf numFmtId="0" fontId="9" fillId="3" borderId="0" xfId="0" applyFont="1" applyFill="1" applyAlignment="1">
      <alignment wrapText="1"/>
    </xf>
    <xf numFmtId="0" fontId="9" fillId="7" borderId="0" xfId="0" applyFont="1" applyFill="1" applyAlignment="1">
      <alignment wrapText="1"/>
    </xf>
    <xf numFmtId="0" fontId="9" fillId="0" borderId="0" xfId="0" applyFont="1" applyFill="1" applyAlignment="1">
      <alignment wrapText="1"/>
    </xf>
    <xf numFmtId="0" fontId="9" fillId="5" borderId="0" xfId="0" applyFont="1" applyFill="1" applyAlignment="1">
      <alignment wrapText="1"/>
    </xf>
    <xf numFmtId="0" fontId="9" fillId="6" borderId="0" xfId="0" applyFont="1" applyFill="1" applyAlignment="1">
      <alignment wrapText="1"/>
    </xf>
    <xf numFmtId="0" fontId="9" fillId="0" borderId="0" xfId="0" applyFont="1" applyFill="1" applyAlignment="1">
      <alignment horizontal="center" wrapText="1"/>
    </xf>
    <xf numFmtId="0" fontId="9" fillId="8" borderId="6" xfId="0" applyFont="1" applyFill="1" applyBorder="1" applyAlignment="1">
      <alignment wrapText="1"/>
    </xf>
    <xf numFmtId="0" fontId="7" fillId="0" borderId="0" xfId="0" applyFont="1" applyAlignment="1">
      <alignment horizontal="center"/>
    </xf>
    <xf numFmtId="4" fontId="7" fillId="0" borderId="0" xfId="0" applyNumberFormat="1" applyFont="1"/>
    <xf numFmtId="4" fontId="7" fillId="3" borderId="5" xfId="0" applyNumberFormat="1" applyFont="1" applyFill="1" applyBorder="1"/>
    <xf numFmtId="4" fontId="7" fillId="0" borderId="0" xfId="0" applyNumberFormat="1" applyFont="1" applyFill="1" applyBorder="1"/>
    <xf numFmtId="0" fontId="9" fillId="6" borderId="5" xfId="0" applyFont="1" applyFill="1" applyBorder="1"/>
    <xf numFmtId="0" fontId="9" fillId="7" borderId="5" xfId="0" applyFont="1" applyFill="1" applyBorder="1"/>
    <xf numFmtId="168" fontId="7" fillId="0" borderId="13" xfId="0" applyNumberFormat="1" applyFont="1" applyBorder="1"/>
    <xf numFmtId="0" fontId="0" fillId="8" borderId="0" xfId="0" applyFill="1" applyProtection="1"/>
    <xf numFmtId="0" fontId="10" fillId="8" borderId="0" xfId="0" applyFont="1" applyFill="1" applyBorder="1" applyAlignment="1" applyProtection="1">
      <alignment vertical="center" wrapText="1"/>
    </xf>
    <xf numFmtId="0" fontId="0" fillId="8" borderId="0" xfId="0" applyFill="1" applyBorder="1" applyProtection="1"/>
    <xf numFmtId="0" fontId="0" fillId="8" borderId="0" xfId="0" applyFill="1" applyAlignment="1" applyProtection="1"/>
    <xf numFmtId="0" fontId="10" fillId="12" borderId="2" xfId="0" applyFont="1" applyFill="1" applyBorder="1" applyAlignment="1" applyProtection="1">
      <alignment horizontal="center" vertical="center"/>
    </xf>
    <xf numFmtId="0" fontId="10" fillId="12" borderId="1" xfId="0" applyFont="1" applyFill="1" applyBorder="1" applyAlignment="1" applyProtection="1">
      <alignment horizontal="center" vertical="center"/>
    </xf>
    <xf numFmtId="0" fontId="9" fillId="14" borderId="3" xfId="0" applyFont="1" applyFill="1" applyBorder="1" applyAlignment="1" applyProtection="1">
      <alignment horizontal="center" vertical="center"/>
    </xf>
    <xf numFmtId="0" fontId="9" fillId="14" borderId="1" xfId="0" applyFont="1" applyFill="1" applyBorder="1" applyAlignment="1" applyProtection="1">
      <alignment horizontal="center" vertical="center"/>
    </xf>
    <xf numFmtId="0" fontId="7" fillId="8" borderId="0" xfId="0" applyFont="1" applyFill="1" applyBorder="1" applyAlignment="1" applyProtection="1">
      <alignment vertical="center" wrapText="1"/>
    </xf>
    <xf numFmtId="0" fontId="0" fillId="0" borderId="0" xfId="0" applyFill="1" applyProtection="1"/>
    <xf numFmtId="0" fontId="10" fillId="0" borderId="0" xfId="0" applyFont="1" applyFill="1" applyBorder="1" applyAlignment="1" applyProtection="1">
      <alignment vertical="center" wrapText="1"/>
    </xf>
    <xf numFmtId="0" fontId="0" fillId="0" borderId="0" xfId="0" applyFill="1" applyBorder="1" applyProtection="1"/>
    <xf numFmtId="44" fontId="0" fillId="8" borderId="1" xfId="1" applyFont="1" applyFill="1" applyBorder="1" applyAlignment="1">
      <alignment vertical="center"/>
    </xf>
    <xf numFmtId="44" fontId="0" fillId="8" borderId="27" xfId="1" applyFont="1" applyFill="1" applyBorder="1" applyAlignment="1">
      <alignment vertical="center"/>
    </xf>
    <xf numFmtId="10" fontId="6" fillId="6" borderId="1" xfId="0" applyNumberFormat="1" applyFont="1" applyFill="1" applyBorder="1" applyAlignment="1" applyProtection="1">
      <alignment horizontal="right" vertical="center" indent="1"/>
      <protection locked="0"/>
    </xf>
    <xf numFmtId="0" fontId="13" fillId="8" borderId="1" xfId="0" applyNumberFormat="1" applyFont="1" applyFill="1" applyBorder="1" applyAlignment="1" applyProtection="1">
      <alignment horizontal="left" vertical="center" wrapText="1" indent="1"/>
    </xf>
    <xf numFmtId="0" fontId="1" fillId="15" borderId="1" xfId="0" applyFont="1" applyFill="1" applyBorder="1"/>
    <xf numFmtId="0" fontId="12" fillId="15" borderId="1" xfId="0" applyFont="1" applyFill="1" applyBorder="1"/>
    <xf numFmtId="0" fontId="0" fillId="16" borderId="1" xfId="0" applyFill="1" applyBorder="1"/>
    <xf numFmtId="43" fontId="0" fillId="16" borderId="1" xfId="2" applyFont="1" applyFill="1" applyBorder="1"/>
    <xf numFmtId="0" fontId="12" fillId="14" borderId="1" xfId="0" applyFont="1" applyFill="1" applyBorder="1"/>
    <xf numFmtId="0" fontId="1" fillId="17" borderId="1" xfId="0" applyFont="1" applyFill="1" applyBorder="1"/>
    <xf numFmtId="43" fontId="1" fillId="17" borderId="1" xfId="2" applyFont="1" applyFill="1" applyBorder="1"/>
    <xf numFmtId="0" fontId="0" fillId="16" borderId="0" xfId="0" applyFill="1" applyBorder="1"/>
    <xf numFmtId="43" fontId="6" fillId="8" borderId="1" xfId="0" applyNumberFormat="1" applyFont="1" applyFill="1" applyBorder="1" applyAlignment="1" applyProtection="1">
      <alignment horizontal="right" vertical="center" indent="1"/>
    </xf>
    <xf numFmtId="170" fontId="6" fillId="8" borderId="1" xfId="0" applyNumberFormat="1" applyFont="1" applyFill="1" applyBorder="1" applyAlignment="1" applyProtection="1">
      <alignment horizontal="right" vertical="center" indent="1"/>
    </xf>
    <xf numFmtId="171" fontId="9" fillId="5" borderId="5" xfId="0" applyNumberFormat="1" applyFont="1" applyFill="1" applyBorder="1"/>
    <xf numFmtId="168" fontId="7" fillId="11" borderId="7" xfId="0" applyNumberFormat="1" applyFont="1" applyFill="1" applyBorder="1"/>
    <xf numFmtId="168" fontId="7" fillId="11" borderId="0" xfId="0" applyNumberFormat="1" applyFont="1" applyFill="1" applyBorder="1"/>
    <xf numFmtId="8" fontId="0" fillId="8" borderId="30" xfId="1" applyNumberFormat="1" applyFont="1" applyFill="1" applyBorder="1" applyAlignment="1">
      <alignment vertical="center"/>
    </xf>
    <xf numFmtId="174" fontId="6" fillId="13" borderId="1" xfId="1" applyNumberFormat="1" applyFont="1" applyFill="1" applyBorder="1" applyAlignment="1" applyProtection="1">
      <alignment horizontal="right" vertical="center" indent="1"/>
      <protection locked="0"/>
    </xf>
    <xf numFmtId="0" fontId="7" fillId="8" borderId="0" xfId="0" applyFont="1" applyFill="1" applyBorder="1" applyAlignment="1" applyProtection="1">
      <alignment horizontal="center" vertical="center" wrapText="1"/>
    </xf>
    <xf numFmtId="0" fontId="18" fillId="18" borderId="20" xfId="0" applyFont="1" applyFill="1" applyBorder="1" applyAlignment="1">
      <alignment vertical="center"/>
    </xf>
    <xf numFmtId="9" fontId="19" fillId="18" borderId="21" xfId="0" applyNumberFormat="1" applyFont="1" applyFill="1" applyBorder="1" applyAlignment="1">
      <alignment vertical="center"/>
    </xf>
    <xf numFmtId="0" fontId="19" fillId="18" borderId="21" xfId="0" applyFont="1" applyFill="1" applyBorder="1" applyAlignment="1">
      <alignment vertical="center"/>
    </xf>
    <xf numFmtId="0" fontId="19" fillId="18" borderId="22" xfId="0" applyFont="1" applyFill="1" applyBorder="1" applyAlignment="1">
      <alignment vertical="center"/>
    </xf>
    <xf numFmtId="10" fontId="0" fillId="20" borderId="1" xfId="4" applyNumberFormat="1" applyFont="1" applyFill="1" applyBorder="1"/>
    <xf numFmtId="177" fontId="0" fillId="4" borderId="1" xfId="0" applyNumberFormat="1" applyFill="1" applyBorder="1"/>
    <xf numFmtId="0" fontId="0" fillId="4" borderId="1" xfId="0" applyFill="1" applyBorder="1"/>
    <xf numFmtId="1" fontId="0" fillId="4" borderId="1" xfId="0" applyNumberFormat="1" applyFill="1" applyBorder="1"/>
    <xf numFmtId="176" fontId="0" fillId="4" borderId="1" xfId="0" applyNumberFormat="1" applyFill="1" applyBorder="1"/>
    <xf numFmtId="174" fontId="0" fillId="4" borderId="1" xfId="0" applyNumberFormat="1" applyFill="1" applyBorder="1"/>
    <xf numFmtId="167" fontId="6" fillId="13" borderId="1" xfId="2" applyNumberFormat="1" applyFont="1" applyFill="1" applyBorder="1" applyAlignment="1" applyProtection="1">
      <alignment horizontal="right" vertical="center" indent="1"/>
      <protection locked="0"/>
    </xf>
    <xf numFmtId="0" fontId="9" fillId="14" borderId="2" xfId="0" applyFont="1" applyFill="1" applyBorder="1" applyAlignment="1" applyProtection="1">
      <alignment horizontal="center" vertical="center"/>
    </xf>
    <xf numFmtId="0" fontId="0" fillId="0" borderId="0" xfId="0"/>
    <xf numFmtId="0" fontId="1" fillId="0" borderId="0" xfId="0" applyFont="1"/>
    <xf numFmtId="0" fontId="1" fillId="0" borderId="0" xfId="0" applyFont="1" applyAlignment="1">
      <alignment wrapText="1"/>
    </xf>
    <xf numFmtId="0" fontId="1" fillId="14" borderId="1" xfId="0" applyFont="1" applyFill="1" applyBorder="1" applyAlignment="1">
      <alignment horizontal="center" vertical="center" wrapText="1"/>
    </xf>
    <xf numFmtId="174" fontId="0" fillId="0" borderId="1" xfId="0" applyNumberFormat="1" applyFill="1" applyBorder="1"/>
    <xf numFmtId="0" fontId="0" fillId="0" borderId="1" xfId="0" applyFill="1" applyBorder="1"/>
    <xf numFmtId="1" fontId="0" fillId="0" borderId="1" xfId="0" applyNumberFormat="1" applyFill="1" applyBorder="1"/>
    <xf numFmtId="177" fontId="0" fillId="0" borderId="1" xfId="0" applyNumberFormat="1" applyFill="1" applyBorder="1"/>
    <xf numFmtId="176" fontId="0" fillId="0" borderId="1" xfId="0" applyNumberFormat="1" applyFill="1" applyBorder="1"/>
    <xf numFmtId="177" fontId="0" fillId="16" borderId="1" xfId="0" applyNumberFormat="1" applyFill="1" applyBorder="1"/>
    <xf numFmtId="0" fontId="1" fillId="16" borderId="1" xfId="0" applyFont="1" applyFill="1" applyBorder="1" applyAlignment="1">
      <alignment horizontal="center" vertical="center" wrapText="1"/>
    </xf>
    <xf numFmtId="165" fontId="0" fillId="0" borderId="1" xfId="0" applyNumberFormat="1" applyBorder="1"/>
    <xf numFmtId="0" fontId="20" fillId="0" borderId="0" xfId="0" applyFont="1" applyAlignment="1">
      <alignment vertical="center"/>
    </xf>
    <xf numFmtId="0" fontId="18" fillId="21" borderId="20" xfId="0" applyFont="1" applyFill="1" applyBorder="1" applyAlignment="1">
      <alignment vertical="center"/>
    </xf>
    <xf numFmtId="0" fontId="19" fillId="21" borderId="21" xfId="0" applyFont="1" applyFill="1" applyBorder="1" applyAlignment="1">
      <alignment vertical="center"/>
    </xf>
    <xf numFmtId="0" fontId="19" fillId="21" borderId="22" xfId="0" applyFont="1" applyFill="1" applyBorder="1" applyAlignment="1">
      <alignment vertical="center"/>
    </xf>
    <xf numFmtId="0" fontId="18" fillId="22" borderId="20" xfId="0" applyFont="1" applyFill="1" applyBorder="1" applyAlignment="1">
      <alignment vertical="center"/>
    </xf>
    <xf numFmtId="0" fontId="19" fillId="22" borderId="21" xfId="0" applyFont="1" applyFill="1" applyBorder="1" applyAlignment="1">
      <alignment vertical="center"/>
    </xf>
    <xf numFmtId="0" fontId="0" fillId="19" borderId="0" xfId="0" applyFill="1" applyBorder="1" applyAlignment="1"/>
    <xf numFmtId="0" fontId="0" fillId="19" borderId="0" xfId="0" applyFill="1" applyBorder="1"/>
    <xf numFmtId="0" fontId="0" fillId="19" borderId="0" xfId="0" applyFill="1"/>
    <xf numFmtId="177" fontId="0" fillId="19" borderId="0" xfId="0" applyNumberFormat="1" applyFill="1"/>
    <xf numFmtId="0" fontId="20" fillId="19" borderId="0" xfId="0" applyFont="1" applyFill="1" applyAlignment="1">
      <alignment vertical="center"/>
    </xf>
    <xf numFmtId="0" fontId="1" fillId="19" borderId="0" xfId="0" applyFont="1" applyFill="1"/>
    <xf numFmtId="0" fontId="1" fillId="19" borderId="0" xfId="0" applyFont="1" applyFill="1" applyAlignment="1">
      <alignment wrapText="1"/>
    </xf>
    <xf numFmtId="175" fontId="0" fillId="14" borderId="1" xfId="4" applyNumberFormat="1" applyFont="1" applyFill="1" applyBorder="1"/>
    <xf numFmtId="173" fontId="0" fillId="14" borderId="1" xfId="0" applyNumberFormat="1" applyFill="1" applyBorder="1"/>
    <xf numFmtId="164" fontId="0" fillId="14" borderId="1" xfId="0" applyNumberFormat="1" applyFill="1" applyBorder="1"/>
    <xf numFmtId="0" fontId="19" fillId="22" borderId="22" xfId="0" applyFont="1" applyFill="1" applyBorder="1" applyAlignment="1">
      <alignment vertical="center"/>
    </xf>
    <xf numFmtId="0" fontId="0" fillId="19" borderId="0" xfId="0" applyFill="1" applyAlignment="1">
      <alignment horizontal="center"/>
    </xf>
    <xf numFmtId="169" fontId="21" fillId="20" borderId="0" xfId="1" applyNumberFormat="1" applyFont="1" applyFill="1"/>
    <xf numFmtId="167" fontId="0" fillId="14" borderId="3" xfId="2" applyNumberFormat="1" applyFont="1" applyFill="1" applyBorder="1" applyAlignment="1">
      <alignment vertical="center"/>
    </xf>
    <xf numFmtId="179" fontId="0" fillId="20" borderId="1" xfId="4" applyNumberFormat="1" applyFont="1" applyFill="1" applyBorder="1"/>
    <xf numFmtId="176" fontId="0" fillId="20" borderId="1" xfId="0" applyNumberFormat="1" applyFill="1" applyBorder="1"/>
    <xf numFmtId="178" fontId="0" fillId="20" borderId="1" xfId="1" applyNumberFormat="1" applyFont="1" applyFill="1" applyBorder="1"/>
    <xf numFmtId="8" fontId="6" fillId="0" borderId="1" xfId="0" applyNumberFormat="1" applyFont="1" applyBorder="1" applyAlignment="1" applyProtection="1">
      <alignment horizontal="center" vertical="center"/>
    </xf>
    <xf numFmtId="0" fontId="6" fillId="0" borderId="1" xfId="0" applyFont="1" applyBorder="1" applyAlignment="1" applyProtection="1">
      <alignment horizontal="center" vertical="center" wrapText="1"/>
    </xf>
    <xf numFmtId="10" fontId="6" fillId="13" borderId="1" xfId="0" applyNumberFormat="1" applyFont="1" applyFill="1" applyBorder="1" applyAlignment="1" applyProtection="1">
      <alignment horizontal="right" vertical="center" indent="1"/>
      <protection locked="0"/>
    </xf>
    <xf numFmtId="0" fontId="9" fillId="13" borderId="1" xfId="0" applyFont="1" applyFill="1" applyBorder="1" applyAlignment="1" applyProtection="1">
      <alignment horizontal="center" vertical="center" wrapText="1"/>
    </xf>
    <xf numFmtId="0" fontId="6" fillId="13" borderId="1" xfId="0" applyFont="1" applyFill="1" applyBorder="1" applyAlignment="1" applyProtection="1">
      <alignment horizontal="center" vertical="center" wrapText="1"/>
    </xf>
    <xf numFmtId="165" fontId="0" fillId="4" borderId="1" xfId="0" applyNumberFormat="1" applyFill="1" applyBorder="1"/>
    <xf numFmtId="0" fontId="9" fillId="8" borderId="0" xfId="0" applyFont="1" applyFill="1" applyBorder="1" applyAlignment="1" applyProtection="1">
      <alignment horizontal="center" vertical="center"/>
    </xf>
    <xf numFmtId="0" fontId="0" fillId="8" borderId="0" xfId="0" applyFill="1" applyBorder="1" applyAlignment="1" applyProtection="1">
      <alignment horizontal="left" vertical="center" wrapText="1" indent="1"/>
    </xf>
    <xf numFmtId="0" fontId="7" fillId="8" borderId="0" xfId="0" applyFont="1" applyFill="1" applyBorder="1" applyAlignment="1" applyProtection="1">
      <alignment horizontal="left" vertical="center" indent="1"/>
    </xf>
    <xf numFmtId="0" fontId="6" fillId="8" borderId="0" xfId="0" applyFont="1" applyFill="1" applyBorder="1" applyAlignment="1" applyProtection="1">
      <alignment vertical="center" wrapText="1"/>
    </xf>
    <xf numFmtId="49" fontId="6" fillId="8" borderId="0" xfId="0" applyNumberFormat="1" applyFont="1" applyFill="1" applyBorder="1" applyAlignment="1" applyProtection="1">
      <alignment horizontal="center" vertical="center" wrapText="1"/>
    </xf>
    <xf numFmtId="8" fontId="6" fillId="8" borderId="0" xfId="0" applyNumberFormat="1" applyFont="1" applyFill="1" applyBorder="1" applyAlignment="1" applyProtection="1">
      <alignment horizontal="center" vertical="center"/>
    </xf>
    <xf numFmtId="0" fontId="7" fillId="0" borderId="1" xfId="0" applyFont="1" applyBorder="1" applyAlignment="1" applyProtection="1">
      <alignment horizontal="left" vertical="center" indent="1"/>
    </xf>
    <xf numFmtId="172" fontId="6" fillId="13" borderId="1" xfId="1" applyNumberFormat="1" applyFont="1" applyFill="1" applyBorder="1" applyAlignment="1" applyProtection="1">
      <alignment horizontal="right" vertical="center" indent="1"/>
      <protection locked="0"/>
    </xf>
    <xf numFmtId="43" fontId="0" fillId="0" borderId="0" xfId="0" applyNumberFormat="1"/>
    <xf numFmtId="0" fontId="0" fillId="0" borderId="0" xfId="0" applyProtection="1"/>
    <xf numFmtId="172" fontId="6" fillId="8" borderId="0" xfId="1" applyNumberFormat="1" applyFont="1" applyFill="1" applyBorder="1" applyAlignment="1" applyProtection="1">
      <alignment horizontal="right" vertical="center" indent="1"/>
    </xf>
    <xf numFmtId="0" fontId="6" fillId="8" borderId="1" xfId="0" applyNumberFormat="1" applyFont="1" applyFill="1" applyBorder="1" applyAlignment="1" applyProtection="1">
      <alignment horizontal="right" vertical="center" indent="1"/>
    </xf>
    <xf numFmtId="0" fontId="22" fillId="0" borderId="1" xfId="0" applyFont="1" applyBorder="1" applyAlignment="1" applyProtection="1">
      <alignment horizontal="center"/>
    </xf>
    <xf numFmtId="181" fontId="6" fillId="0" borderId="1" xfId="0" applyNumberFormat="1" applyFont="1" applyBorder="1" applyAlignment="1" applyProtection="1">
      <alignment horizontal="center"/>
    </xf>
    <xf numFmtId="0" fontId="6" fillId="23" borderId="1" xfId="0" applyFont="1" applyFill="1" applyBorder="1" applyAlignment="1" applyProtection="1">
      <alignment horizontal="center"/>
    </xf>
    <xf numFmtId="49" fontId="6" fillId="0" borderId="1" xfId="0" applyNumberFormat="1" applyFont="1" applyBorder="1" applyAlignment="1" applyProtection="1">
      <alignment horizontal="center"/>
      <protection locked="0"/>
    </xf>
    <xf numFmtId="181" fontId="6" fillId="0" borderId="1" xfId="0" applyNumberFormat="1" applyFont="1" applyBorder="1" applyAlignment="1" applyProtection="1">
      <alignment horizontal="center"/>
      <protection locked="0"/>
    </xf>
    <xf numFmtId="10" fontId="6" fillId="0" borderId="1" xfId="0" applyNumberFormat="1" applyFont="1" applyBorder="1" applyAlignment="1" applyProtection="1">
      <alignment horizontal="center"/>
      <protection locked="0"/>
    </xf>
    <xf numFmtId="180" fontId="6" fillId="0" borderId="1" xfId="0" applyNumberFormat="1" applyFont="1" applyBorder="1" applyAlignment="1" applyProtection="1">
      <alignment horizontal="center"/>
      <protection locked="0"/>
    </xf>
    <xf numFmtId="8" fontId="6" fillId="0" borderId="1" xfId="0" applyNumberFormat="1" applyFont="1" applyBorder="1" applyAlignment="1" applyProtection="1">
      <alignment horizontal="center"/>
      <protection locked="0"/>
    </xf>
    <xf numFmtId="9" fontId="6" fillId="0" borderId="1" xfId="0" applyNumberFormat="1" applyFont="1" applyBorder="1" applyAlignment="1" applyProtection="1">
      <alignment horizontal="center"/>
      <protection locked="0"/>
    </xf>
    <xf numFmtId="0" fontId="0" fillId="24" borderId="0" xfId="0" applyFill="1"/>
    <xf numFmtId="169" fontId="0" fillId="8" borderId="3" xfId="1" applyNumberFormat="1" applyFont="1" applyFill="1" applyBorder="1" applyAlignment="1">
      <alignment vertical="center"/>
    </xf>
    <xf numFmtId="169" fontId="0" fillId="8" borderId="1" xfId="1" applyNumberFormat="1" applyFont="1" applyFill="1" applyBorder="1" applyAlignment="1">
      <alignment vertical="center"/>
    </xf>
    <xf numFmtId="169" fontId="0" fillId="8" borderId="27" xfId="1" applyNumberFormat="1" applyFont="1" applyFill="1" applyBorder="1" applyAlignment="1">
      <alignment vertical="center"/>
    </xf>
    <xf numFmtId="49" fontId="6" fillId="0" borderId="20" xfId="0" quotePrefix="1" applyNumberFormat="1" applyFont="1" applyBorder="1" applyAlignment="1" applyProtection="1">
      <alignment horizontal="center" vertical="center" wrapText="1"/>
    </xf>
    <xf numFmtId="0" fontId="6" fillId="0" borderId="22" xfId="0" applyNumberFormat="1" applyFont="1" applyBorder="1" applyAlignment="1" applyProtection="1">
      <alignment horizontal="center" vertical="center" wrapText="1"/>
    </xf>
    <xf numFmtId="0" fontId="0" fillId="0" borderId="1" xfId="0" applyBorder="1" applyAlignment="1" applyProtection="1">
      <alignment horizontal="left" vertical="center" wrapText="1" indent="1"/>
    </xf>
    <xf numFmtId="0" fontId="12" fillId="8" borderId="16" xfId="0" applyFont="1" applyFill="1" applyBorder="1" applyAlignment="1" applyProtection="1">
      <alignment horizontal="left" vertical="center" wrapText="1" indent="2"/>
    </xf>
    <xf numFmtId="0" fontId="11" fillId="8" borderId="16" xfId="0" applyFont="1" applyFill="1" applyBorder="1" applyAlignment="1" applyProtection="1">
      <alignment horizontal="left" vertical="center" wrapText="1" indent="2"/>
    </xf>
    <xf numFmtId="49" fontId="6" fillId="0" borderId="1" xfId="0" applyNumberFormat="1" applyFont="1" applyBorder="1" applyAlignment="1" applyProtection="1">
      <alignment horizontal="center" vertical="center" wrapText="1"/>
    </xf>
    <xf numFmtId="0" fontId="10" fillId="12" borderId="20" xfId="0" applyFont="1" applyFill="1" applyBorder="1" applyAlignment="1" applyProtection="1">
      <alignment horizontal="left" vertical="center" wrapText="1" indent="1"/>
    </xf>
    <xf numFmtId="0" fontId="10" fillId="12" borderId="21" xfId="0" applyFont="1" applyFill="1" applyBorder="1" applyAlignment="1" applyProtection="1">
      <alignment horizontal="left" vertical="center" wrapText="1" indent="1"/>
    </xf>
    <xf numFmtId="0" fontId="10" fillId="12" borderId="22" xfId="0" applyFont="1" applyFill="1" applyBorder="1" applyAlignment="1" applyProtection="1">
      <alignment horizontal="left" vertical="center" wrapText="1" indent="1"/>
    </xf>
    <xf numFmtId="0" fontId="13" fillId="8" borderId="15" xfId="0" applyFont="1" applyFill="1" applyBorder="1" applyAlignment="1" applyProtection="1">
      <alignment horizontal="left" vertical="center" wrapText="1" indent="1"/>
    </xf>
    <xf numFmtId="0" fontId="13" fillId="8" borderId="16" xfId="0" applyFont="1" applyFill="1" applyBorder="1" applyAlignment="1" applyProtection="1">
      <alignment horizontal="left" vertical="center" wrapText="1" indent="1"/>
    </xf>
    <xf numFmtId="0" fontId="13" fillId="8" borderId="17" xfId="0" applyFont="1" applyFill="1" applyBorder="1" applyAlignment="1" applyProtection="1">
      <alignment horizontal="left" vertical="center" wrapText="1" indent="1"/>
    </xf>
    <xf numFmtId="0" fontId="6" fillId="13" borderId="1" xfId="0" applyFont="1" applyFill="1" applyBorder="1" applyAlignment="1" applyProtection="1">
      <alignment horizontal="center" vertical="center" wrapText="1"/>
    </xf>
    <xf numFmtId="0" fontId="9" fillId="1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1" fillId="0" borderId="15" xfId="0" applyFont="1" applyBorder="1" applyAlignment="1" applyProtection="1">
      <alignment horizontal="center" vertical="center" wrapText="1"/>
    </xf>
    <xf numFmtId="0" fontId="0" fillId="0" borderId="17"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9" xfId="0" applyBorder="1" applyAlignment="1" applyProtection="1">
      <alignment horizontal="center" vertical="center" wrapText="1"/>
    </xf>
    <xf numFmtId="0" fontId="16" fillId="8" borderId="1" xfId="0" applyFont="1" applyFill="1" applyBorder="1" applyAlignment="1" applyProtection="1">
      <alignment horizontal="left" vertical="center" wrapText="1" indent="1"/>
    </xf>
    <xf numFmtId="0" fontId="10" fillId="12" borderId="1" xfId="0" applyFont="1" applyFill="1" applyBorder="1" applyAlignment="1" applyProtection="1">
      <alignment horizontal="left" vertical="center" wrapText="1" indent="1"/>
    </xf>
    <xf numFmtId="0" fontId="16" fillId="8" borderId="15" xfId="0" applyFont="1" applyFill="1" applyBorder="1" applyAlignment="1" applyProtection="1">
      <alignment horizontal="left" vertical="center" wrapText="1" indent="1"/>
    </xf>
    <xf numFmtId="0" fontId="16" fillId="8" borderId="16" xfId="0" applyFont="1" applyFill="1" applyBorder="1" applyAlignment="1" applyProtection="1">
      <alignment horizontal="left" vertical="center" wrapText="1" indent="1"/>
    </xf>
    <xf numFmtId="0" fontId="16" fillId="8" borderId="17" xfId="0" applyFont="1" applyFill="1" applyBorder="1" applyAlignment="1" applyProtection="1">
      <alignment horizontal="left" vertical="center" wrapText="1" indent="1"/>
    </xf>
    <xf numFmtId="0" fontId="10" fillId="12" borderId="18" xfId="0" applyFont="1" applyFill="1" applyBorder="1" applyAlignment="1" applyProtection="1">
      <alignment horizontal="center" vertical="center" wrapText="1"/>
    </xf>
    <xf numFmtId="0" fontId="10" fillId="12" borderId="6" xfId="0" applyFont="1" applyFill="1" applyBorder="1" applyAlignment="1" applyProtection="1">
      <alignment horizontal="center" vertical="center" wrapText="1"/>
    </xf>
    <xf numFmtId="0" fontId="13" fillId="8" borderId="1" xfId="0" applyFont="1" applyFill="1" applyBorder="1" applyAlignment="1" applyProtection="1">
      <alignment horizontal="left" vertical="center" wrapText="1" indent="1"/>
    </xf>
    <xf numFmtId="0" fontId="12" fillId="0" borderId="16" xfId="0" applyFont="1" applyBorder="1" applyAlignment="1" applyProtection="1">
      <alignment horizontal="left" vertical="center" wrapText="1" indent="2"/>
    </xf>
    <xf numFmtId="0" fontId="11" fillId="0" borderId="16" xfId="0" applyFont="1" applyBorder="1" applyAlignment="1" applyProtection="1">
      <alignment horizontal="left" vertical="center" wrapText="1" indent="2"/>
    </xf>
    <xf numFmtId="0" fontId="8" fillId="13" borderId="15" xfId="0" applyFont="1" applyFill="1" applyBorder="1" applyAlignment="1" applyProtection="1">
      <alignment horizontal="center" vertical="center"/>
    </xf>
    <xf numFmtId="0" fontId="8" fillId="13" borderId="16" xfId="0" applyFont="1" applyFill="1" applyBorder="1" applyAlignment="1" applyProtection="1">
      <alignment horizontal="center" vertical="center"/>
    </xf>
    <xf numFmtId="0" fontId="8" fillId="13" borderId="17" xfId="0" applyFont="1" applyFill="1" applyBorder="1" applyAlignment="1" applyProtection="1">
      <alignment horizontal="center" vertical="center"/>
    </xf>
    <xf numFmtId="0" fontId="11" fillId="13" borderId="18" xfId="0" applyFont="1" applyFill="1" applyBorder="1" applyAlignment="1" applyProtection="1">
      <alignment horizontal="center" vertical="center"/>
    </xf>
    <xf numFmtId="0" fontId="11" fillId="13" borderId="6" xfId="0" applyFont="1" applyFill="1" applyBorder="1" applyAlignment="1" applyProtection="1">
      <alignment horizontal="center" vertical="center"/>
    </xf>
    <xf numFmtId="0" fontId="11" fillId="13" borderId="19" xfId="0" applyFont="1" applyFill="1" applyBorder="1" applyAlignment="1" applyProtection="1">
      <alignment horizontal="center" vertical="center"/>
    </xf>
    <xf numFmtId="0" fontId="0" fillId="8" borderId="20" xfId="0" applyFill="1" applyBorder="1" applyAlignment="1" applyProtection="1">
      <alignment horizontal="left" vertical="center" wrapText="1"/>
    </xf>
    <xf numFmtId="0" fontId="0" fillId="8" borderId="21" xfId="0" applyFill="1" applyBorder="1" applyAlignment="1" applyProtection="1">
      <alignment horizontal="left" vertical="center" wrapText="1"/>
    </xf>
    <xf numFmtId="0" fontId="0" fillId="8" borderId="22" xfId="0" applyFill="1" applyBorder="1" applyAlignment="1" applyProtection="1">
      <alignment horizontal="left" vertical="center" wrapText="1"/>
    </xf>
    <xf numFmtId="0" fontId="1" fillId="14" borderId="1" xfId="0" applyFont="1" applyFill="1" applyBorder="1" applyAlignment="1">
      <alignment horizontal="left"/>
    </xf>
    <xf numFmtId="0" fontId="1" fillId="14" borderId="1" xfId="0" applyFont="1" applyFill="1" applyBorder="1" applyAlignment="1"/>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xf>
    <xf numFmtId="0" fontId="0" fillId="0" borderId="1" xfId="0" applyBorder="1" applyAlignment="1">
      <alignment wrapText="1"/>
    </xf>
    <xf numFmtId="0" fontId="0" fillId="0" borderId="1" xfId="0" applyBorder="1" applyAlignment="1"/>
    <xf numFmtId="0" fontId="9" fillId="10" borderId="11" xfId="0" applyFont="1" applyFill="1" applyBorder="1" applyAlignment="1">
      <alignment horizontal="center"/>
    </xf>
    <xf numFmtId="0" fontId="9" fillId="10" borderId="14" xfId="0" applyFont="1" applyFill="1" applyBorder="1" applyAlignment="1">
      <alignment horizontal="center"/>
    </xf>
    <xf numFmtId="0" fontId="9" fillId="10" borderId="12" xfId="0" applyFont="1" applyFill="1" applyBorder="1" applyAlignment="1">
      <alignment horizontal="center"/>
    </xf>
    <xf numFmtId="0" fontId="9" fillId="10" borderId="8" xfId="0" applyFont="1" applyFill="1" applyBorder="1" applyAlignment="1">
      <alignment horizontal="center"/>
    </xf>
    <xf numFmtId="0" fontId="9" fillId="10" borderId="9" xfId="0" applyFont="1" applyFill="1" applyBorder="1" applyAlignment="1">
      <alignment horizontal="center"/>
    </xf>
    <xf numFmtId="0" fontId="9" fillId="10" borderId="10" xfId="0" applyFont="1" applyFill="1" applyBorder="1" applyAlignment="1">
      <alignment horizontal="center"/>
    </xf>
    <xf numFmtId="0" fontId="4" fillId="8" borderId="0" xfId="0" applyFont="1" applyFill="1" applyBorder="1" applyAlignment="1">
      <alignment horizontal="center"/>
    </xf>
    <xf numFmtId="0" fontId="16" fillId="8" borderId="23" xfId="3" applyFont="1" applyFill="1" applyBorder="1" applyAlignment="1">
      <alignment vertical="center" wrapText="1"/>
    </xf>
    <xf numFmtId="0" fontId="16" fillId="8" borderId="26" xfId="3" applyFont="1" applyFill="1" applyBorder="1" applyAlignment="1">
      <alignment vertical="center" wrapText="1"/>
    </xf>
    <xf numFmtId="169" fontId="0" fillId="8" borderId="3" xfId="1" applyNumberFormat="1" applyFont="1" applyFill="1" applyBorder="1" applyAlignment="1">
      <alignment vertical="center"/>
    </xf>
    <xf numFmtId="169" fontId="0" fillId="8" borderId="24" xfId="1" applyNumberFormat="1" applyFont="1" applyFill="1" applyBorder="1" applyAlignment="1">
      <alignment vertical="center"/>
    </xf>
    <xf numFmtId="169" fontId="0" fillId="8" borderId="1" xfId="1" applyNumberFormat="1" applyFont="1" applyFill="1" applyBorder="1" applyAlignment="1">
      <alignment vertical="center"/>
    </xf>
    <xf numFmtId="169" fontId="0" fillId="8" borderId="25" xfId="1" applyNumberFormat="1" applyFont="1" applyFill="1" applyBorder="1" applyAlignment="1">
      <alignment vertical="center"/>
    </xf>
    <xf numFmtId="169" fontId="0" fillId="8" borderId="27" xfId="1" applyNumberFormat="1" applyFont="1" applyFill="1" applyBorder="1" applyAlignment="1">
      <alignment vertical="center"/>
    </xf>
    <xf numFmtId="169" fontId="0" fillId="8" borderId="28" xfId="1" applyNumberFormat="1" applyFont="1" applyFill="1" applyBorder="1" applyAlignment="1">
      <alignment vertical="center"/>
    </xf>
    <xf numFmtId="0" fontId="0" fillId="8" borderId="29" xfId="0" applyFill="1" applyBorder="1" applyAlignment="1">
      <alignment vertical="center" wrapText="1"/>
    </xf>
    <xf numFmtId="0" fontId="0" fillId="8" borderId="32" xfId="0" applyFill="1" applyBorder="1" applyAlignment="1">
      <alignment vertical="center" wrapText="1"/>
    </xf>
    <xf numFmtId="0" fontId="0" fillId="8" borderId="33" xfId="0" applyFill="1" applyBorder="1" applyAlignment="1">
      <alignment vertical="center" wrapText="1"/>
    </xf>
    <xf numFmtId="0" fontId="0" fillId="8" borderId="30" xfId="0" applyFill="1" applyBorder="1" applyAlignment="1">
      <alignment vertical="center"/>
    </xf>
    <xf numFmtId="0" fontId="0" fillId="8" borderId="31" xfId="0" applyFill="1" applyBorder="1" applyAlignment="1">
      <alignment vertical="center"/>
    </xf>
    <xf numFmtId="0" fontId="0" fillId="8" borderId="1" xfId="0" applyFill="1" applyBorder="1" applyAlignment="1">
      <alignment vertical="center"/>
    </xf>
    <xf numFmtId="0" fontId="0" fillId="8" borderId="25" xfId="0" applyFill="1" applyBorder="1" applyAlignment="1">
      <alignment vertical="center"/>
    </xf>
    <xf numFmtId="0" fontId="0" fillId="8" borderId="27" xfId="0" applyFill="1" applyBorder="1" applyAlignment="1">
      <alignment vertical="center"/>
    </xf>
    <xf numFmtId="0" fontId="0" fillId="8" borderId="28" xfId="0" applyFill="1" applyBorder="1" applyAlignment="1">
      <alignment vertical="center"/>
    </xf>
  </cellXfs>
  <cellStyles count="5">
    <cellStyle name="Comma" xfId="2" builtinId="3"/>
    <cellStyle name="Currency" xfId="1" builtinId="4"/>
    <cellStyle name="Hyperlink" xfId="3" builtinId="8"/>
    <cellStyle name="Normal" xfId="0" builtinId="0"/>
    <cellStyle name="Percent" xfId="4" builtinId="5"/>
  </cellStyles>
  <dxfs count="0"/>
  <tableStyles count="0" defaultTableStyle="TableStyleMedium2" defaultPivotStyle="PivotStyleLight16"/>
  <colors>
    <mruColors>
      <color rgb="FFE4B53A"/>
      <color rgb="FF005397"/>
      <color rgb="FFFF7C80"/>
      <color rgb="FF86A8CC"/>
      <color rgb="FFF3C3EA"/>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37504004971021"/>
          <c:y val="0.19438004934067926"/>
          <c:w val="0.81732402228002043"/>
          <c:h val="0.59776910769036751"/>
        </c:manualLayout>
      </c:layout>
      <c:lineChart>
        <c:grouping val="standard"/>
        <c:varyColors val="0"/>
        <c:ser>
          <c:idx val="2"/>
          <c:order val="0"/>
          <c:tx>
            <c:strRef>
              <c:f>'PAYASGO '!$C$12</c:f>
              <c:strCache>
                <c:ptCount val="1"/>
                <c:pt idx="0">
                  <c:v>BILL CREDIT RATE (Tested)</c:v>
                </c:pt>
              </c:strCache>
            </c:strRef>
          </c:tx>
          <c:spPr>
            <a:ln w="50800">
              <a:prstDash val="lgDash"/>
            </a:ln>
          </c:spPr>
          <c:marker>
            <c:symbol val="none"/>
          </c:marker>
          <c:val>
            <c:numRef>
              <c:f>'PAYASGO '!$C$13:$C$37</c:f>
              <c:numCache>
                <c:formatCode>0.00000</c:formatCode>
                <c:ptCount val="25"/>
                <c:pt idx="0">
                  <c:v>0.15309999999999999</c:v>
                </c:pt>
                <c:pt idx="1">
                  <c:v>0.15775849999999997</c:v>
                </c:pt>
                <c:pt idx="2">
                  <c:v>0.16258004749999996</c:v>
                </c:pt>
                <c:pt idx="3">
                  <c:v>0.16757034916249994</c:v>
                </c:pt>
                <c:pt idx="4">
                  <c:v>0.17273531138318746</c:v>
                </c:pt>
                <c:pt idx="5">
                  <c:v>0.17808104728159899</c:v>
                </c:pt>
                <c:pt idx="6">
                  <c:v>0.18361388393645495</c:v>
                </c:pt>
                <c:pt idx="7">
                  <c:v>0.18934036987423086</c:v>
                </c:pt>
                <c:pt idx="8">
                  <c:v>0.19526728281982891</c:v>
                </c:pt>
                <c:pt idx="9">
                  <c:v>0.2014016377185229</c:v>
                </c:pt>
                <c:pt idx="10">
                  <c:v>0.20775069503867119</c:v>
                </c:pt>
                <c:pt idx="11">
                  <c:v>0.21432196936502468</c:v>
                </c:pt>
                <c:pt idx="12">
                  <c:v>0.22112323829280053</c:v>
                </c:pt>
                <c:pt idx="13">
                  <c:v>0.22816255163304852</c:v>
                </c:pt>
                <c:pt idx="14">
                  <c:v>0.23544824094020525</c:v>
                </c:pt>
                <c:pt idx="15">
                  <c:v>0.24298892937311239</c:v>
                </c:pt>
                <c:pt idx="16">
                  <c:v>0.25079354190117131</c:v>
                </c:pt>
                <c:pt idx="17">
                  <c:v>0.25887131586771228</c:v>
                </c:pt>
                <c:pt idx="18">
                  <c:v>0.26723181192308221</c:v>
                </c:pt>
                <c:pt idx="19">
                  <c:v>0.27588492534039005</c:v>
                </c:pt>
                <c:pt idx="20">
                  <c:v>0.2848408977273037</c:v>
                </c:pt>
                <c:pt idx="21">
                  <c:v>0.29411032914775925</c:v>
                </c:pt>
                <c:pt idx="22">
                  <c:v>0.30370419066793086</c:v>
                </c:pt>
                <c:pt idx="23">
                  <c:v>0.3136338373413084</c:v>
                </c:pt>
                <c:pt idx="24">
                  <c:v>0.32391102164825414</c:v>
                </c:pt>
              </c:numCache>
            </c:numRef>
          </c:val>
          <c:smooth val="0"/>
          <c:extLst>
            <c:ext xmlns:c16="http://schemas.microsoft.com/office/drawing/2014/chart" uri="{C3380CC4-5D6E-409C-BE32-E72D297353CC}">
              <c16:uniqueId val="{00000007-40C8-41DB-869B-4A92CB07E6BE}"/>
            </c:ext>
          </c:extLst>
        </c:ser>
        <c:ser>
          <c:idx val="1"/>
          <c:order val="1"/>
          <c:tx>
            <c:strRef>
              <c:f>'Xcel CSG Calculator'!$E$20</c:f>
              <c:strCache>
                <c:ptCount val="1"/>
                <c:pt idx="0">
                  <c:v>PROPOSAL 1</c:v>
                </c:pt>
              </c:strCache>
            </c:strRef>
          </c:tx>
          <c:marker>
            <c:symbol val="none"/>
          </c:marker>
          <c:val>
            <c:numRef>
              <c:f>'Detail 1'!$C$13:$C$37</c:f>
              <c:numCache>
                <c:formatCode>"$"#,##0.000</c:formatCode>
                <c:ptCount val="25"/>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numCache>
            </c:numRef>
          </c:val>
          <c:smooth val="0"/>
          <c:extLst>
            <c:ext xmlns:c16="http://schemas.microsoft.com/office/drawing/2014/chart" uri="{C3380CC4-5D6E-409C-BE32-E72D297353CC}">
              <c16:uniqueId val="{00000000-2A10-43FD-AF72-D1601B3D2E87}"/>
            </c:ext>
          </c:extLst>
        </c:ser>
        <c:ser>
          <c:idx val="3"/>
          <c:order val="2"/>
          <c:tx>
            <c:strRef>
              <c:f>'Xcel CSG Calculator'!$E$21</c:f>
              <c:strCache>
                <c:ptCount val="1"/>
                <c:pt idx="0">
                  <c:v>PROPOSAL 2</c:v>
                </c:pt>
              </c:strCache>
            </c:strRef>
          </c:tx>
          <c:marker>
            <c:symbol val="none"/>
          </c:marker>
          <c:val>
            <c:numRef>
              <c:f>'Detail 2'!$C$13:$C$37</c:f>
              <c:numCache>
                <c:formatCode>"$"#,##0.000</c:formatCode>
                <c:ptCount val="25"/>
                <c:pt idx="0">
                  <c:v>0.08</c:v>
                </c:pt>
                <c:pt idx="1">
                  <c:v>8.199999999999999E-2</c:v>
                </c:pt>
                <c:pt idx="2">
                  <c:v>8.4049999999999986E-2</c:v>
                </c:pt>
                <c:pt idx="3">
                  <c:v>8.6151249999999985E-2</c:v>
                </c:pt>
                <c:pt idx="4">
                  <c:v>8.8305031249999971E-2</c:v>
                </c:pt>
                <c:pt idx="5">
                  <c:v>9.0512657031249957E-2</c:v>
                </c:pt>
                <c:pt idx="6">
                  <c:v>9.2775473457031202E-2</c:v>
                </c:pt>
                <c:pt idx="7">
                  <c:v>9.509486029345697E-2</c:v>
                </c:pt>
                <c:pt idx="8">
                  <c:v>9.7472231800793382E-2</c:v>
                </c:pt>
                <c:pt idx="9">
                  <c:v>9.990903759581321E-2</c:v>
                </c:pt>
                <c:pt idx="10">
                  <c:v>0.10240676353570853</c:v>
                </c:pt>
                <c:pt idx="11">
                  <c:v>0.10496693262410124</c:v>
                </c:pt>
                <c:pt idx="12">
                  <c:v>0.10759110593970377</c:v>
                </c:pt>
                <c:pt idx="13">
                  <c:v>0.11028088358819635</c:v>
                </c:pt>
                <c:pt idx="14">
                  <c:v>0.11303790567790124</c:v>
                </c:pt>
                <c:pt idx="15">
                  <c:v>0.11586385331984876</c:v>
                </c:pt>
                <c:pt idx="16">
                  <c:v>0.11876044965284498</c:v>
                </c:pt>
                <c:pt idx="17">
                  <c:v>0.12172946089416609</c:v>
                </c:pt>
                <c:pt idx="18">
                  <c:v>0.12477269741652022</c:v>
                </c:pt>
                <c:pt idx="19">
                  <c:v>0.12789201485193322</c:v>
                </c:pt>
                <c:pt idx="20">
                  <c:v>0.13108931522323153</c:v>
                </c:pt>
                <c:pt idx="21">
                  <c:v>0.13436654810381229</c:v>
                </c:pt>
                <c:pt idx="22">
                  <c:v>0.13772571180640758</c:v>
                </c:pt>
                <c:pt idx="23">
                  <c:v>0.14116885460156775</c:v>
                </c:pt>
                <c:pt idx="24">
                  <c:v>0.14469807596660694</c:v>
                </c:pt>
              </c:numCache>
            </c:numRef>
          </c:val>
          <c:smooth val="0"/>
          <c:extLst>
            <c:ext xmlns:c16="http://schemas.microsoft.com/office/drawing/2014/chart" uri="{C3380CC4-5D6E-409C-BE32-E72D297353CC}">
              <c16:uniqueId val="{00000001-2A10-43FD-AF72-D1601B3D2E87}"/>
            </c:ext>
          </c:extLst>
        </c:ser>
        <c:ser>
          <c:idx val="4"/>
          <c:order val="3"/>
          <c:tx>
            <c:strRef>
              <c:f>'Xcel CSG Calculator'!$E$22</c:f>
              <c:strCache>
                <c:ptCount val="1"/>
                <c:pt idx="0">
                  <c:v>PROPOSAL 3</c:v>
                </c:pt>
              </c:strCache>
            </c:strRef>
          </c:tx>
          <c:marker>
            <c:symbol val="none"/>
          </c:marker>
          <c:val>
            <c:numRef>
              <c:f>'Detail 3'!$C$13:$C$37</c:f>
              <c:numCache>
                <c:formatCode>"$"#,##0.000</c:formatCode>
                <c:ptCount val="25"/>
                <c:pt idx="0">
                  <c:v>0.115</c:v>
                </c:pt>
                <c:pt idx="1">
                  <c:v>0.115</c:v>
                </c:pt>
                <c:pt idx="2">
                  <c:v>0.115</c:v>
                </c:pt>
                <c:pt idx="3">
                  <c:v>0.115</c:v>
                </c:pt>
                <c:pt idx="4">
                  <c:v>0.115</c:v>
                </c:pt>
                <c:pt idx="5">
                  <c:v>0.115</c:v>
                </c:pt>
                <c:pt idx="6">
                  <c:v>0.115</c:v>
                </c:pt>
                <c:pt idx="7">
                  <c:v>0.115</c:v>
                </c:pt>
                <c:pt idx="8">
                  <c:v>0.115</c:v>
                </c:pt>
                <c:pt idx="9">
                  <c:v>0.115</c:v>
                </c:pt>
                <c:pt idx="10">
                  <c:v>0.115</c:v>
                </c:pt>
                <c:pt idx="11">
                  <c:v>0.115</c:v>
                </c:pt>
                <c:pt idx="12">
                  <c:v>0.115</c:v>
                </c:pt>
                <c:pt idx="13">
                  <c:v>0.115</c:v>
                </c:pt>
                <c:pt idx="14">
                  <c:v>0.115</c:v>
                </c:pt>
                <c:pt idx="15">
                  <c:v>0.115</c:v>
                </c:pt>
                <c:pt idx="16">
                  <c:v>0.115</c:v>
                </c:pt>
                <c:pt idx="17">
                  <c:v>0.115</c:v>
                </c:pt>
                <c:pt idx="18">
                  <c:v>0.115</c:v>
                </c:pt>
                <c:pt idx="19">
                  <c:v>0.115</c:v>
                </c:pt>
                <c:pt idx="20">
                  <c:v>0.115</c:v>
                </c:pt>
                <c:pt idx="21">
                  <c:v>0.115</c:v>
                </c:pt>
                <c:pt idx="22">
                  <c:v>0.115</c:v>
                </c:pt>
                <c:pt idx="23">
                  <c:v>0.115</c:v>
                </c:pt>
                <c:pt idx="24">
                  <c:v>0.115</c:v>
                </c:pt>
              </c:numCache>
            </c:numRef>
          </c:val>
          <c:smooth val="0"/>
          <c:extLst>
            <c:ext xmlns:c16="http://schemas.microsoft.com/office/drawing/2014/chart" uri="{C3380CC4-5D6E-409C-BE32-E72D297353CC}">
              <c16:uniqueId val="{00000002-2A10-43FD-AF72-D1601B3D2E87}"/>
            </c:ext>
          </c:extLst>
        </c:ser>
        <c:ser>
          <c:idx val="5"/>
          <c:order val="4"/>
          <c:tx>
            <c:strRef>
              <c:f>'Xcel CSG Calculator'!$E$23</c:f>
              <c:strCache>
                <c:ptCount val="1"/>
                <c:pt idx="0">
                  <c:v>PROPOSAL 4</c:v>
                </c:pt>
              </c:strCache>
            </c:strRef>
          </c:tx>
          <c:marker>
            <c:symbol val="none"/>
          </c:marker>
          <c:val>
            <c:numRef>
              <c:f>'Detail 4'!$D$14:$D$38</c:f>
              <c:numCache>
                <c:formatCode>0.000</c:formatCode>
                <c:ptCount val="25"/>
                <c:pt idx="0">
                  <c:v>0.14309999999999998</c:v>
                </c:pt>
                <c:pt idx="1">
                  <c:v>0.14775849999999996</c:v>
                </c:pt>
                <c:pt idx="2">
                  <c:v>0.15258004749999995</c:v>
                </c:pt>
                <c:pt idx="3">
                  <c:v>0.15757034916249993</c:v>
                </c:pt>
                <c:pt idx="4">
                  <c:v>0.16273531138318742</c:v>
                </c:pt>
                <c:pt idx="5">
                  <c:v>0.16808104728159898</c:v>
                </c:pt>
                <c:pt idx="6">
                  <c:v>0.17361388393645494</c:v>
                </c:pt>
                <c:pt idx="7">
                  <c:v>0.17934036987423085</c:v>
                </c:pt>
                <c:pt idx="8">
                  <c:v>0.18526728281982893</c:v>
                </c:pt>
                <c:pt idx="9">
                  <c:v>0.19140163771852292</c:v>
                </c:pt>
                <c:pt idx="10">
                  <c:v>0.19775069503867121</c:v>
                </c:pt>
                <c:pt idx="11">
                  <c:v>0.2043219693650247</c:v>
                </c:pt>
                <c:pt idx="12">
                  <c:v>0.21112323829280055</c:v>
                </c:pt>
                <c:pt idx="13">
                  <c:v>0.21816255163304857</c:v>
                </c:pt>
                <c:pt idx="14">
                  <c:v>0.22544824094020524</c:v>
                </c:pt>
                <c:pt idx="15">
                  <c:v>0.23298892937311241</c:v>
                </c:pt>
                <c:pt idx="16">
                  <c:v>0.24079354190117136</c:v>
                </c:pt>
                <c:pt idx="17">
                  <c:v>0.24887131586771233</c:v>
                </c:pt>
                <c:pt idx="18">
                  <c:v>0.25723181192308225</c:v>
                </c:pt>
                <c:pt idx="19">
                  <c:v>0.2658849253403901</c:v>
                </c:pt>
                <c:pt idx="20">
                  <c:v>0.27484089772730375</c:v>
                </c:pt>
                <c:pt idx="21">
                  <c:v>0.28411032914775936</c:v>
                </c:pt>
                <c:pt idx="22">
                  <c:v>0.29370419066793091</c:v>
                </c:pt>
                <c:pt idx="23">
                  <c:v>0.30363383734130844</c:v>
                </c:pt>
                <c:pt idx="24">
                  <c:v>0.31391102164825424</c:v>
                </c:pt>
              </c:numCache>
            </c:numRef>
          </c:val>
          <c:smooth val="0"/>
          <c:extLst>
            <c:ext xmlns:c16="http://schemas.microsoft.com/office/drawing/2014/chart" uri="{C3380CC4-5D6E-409C-BE32-E72D297353CC}">
              <c16:uniqueId val="{00000003-2A10-43FD-AF72-D1601B3D2E87}"/>
            </c:ext>
          </c:extLst>
        </c:ser>
        <c:ser>
          <c:idx val="6"/>
          <c:order val="5"/>
          <c:tx>
            <c:strRef>
              <c:f>'Xcel CSG Calculator'!$E$24</c:f>
              <c:strCache>
                <c:ptCount val="1"/>
                <c:pt idx="0">
                  <c:v>PROPOSAL 5</c:v>
                </c:pt>
              </c:strCache>
            </c:strRef>
          </c:tx>
          <c:marker>
            <c:symbol val="none"/>
          </c:marker>
          <c:val>
            <c:numRef>
              <c:f>'Detail 5'!$D$14:$D$38</c:f>
              <c:numCache>
                <c:formatCode>0.000</c:formatCode>
                <c:ptCount val="25"/>
                <c:pt idx="0">
                  <c:v>0.14509999999999998</c:v>
                </c:pt>
                <c:pt idx="1">
                  <c:v>0.14975849999999996</c:v>
                </c:pt>
                <c:pt idx="2">
                  <c:v>0.15458004749999996</c:v>
                </c:pt>
                <c:pt idx="3">
                  <c:v>0.15957034916249993</c:v>
                </c:pt>
                <c:pt idx="4">
                  <c:v>0.16473531138318742</c:v>
                </c:pt>
                <c:pt idx="5">
                  <c:v>0.17008104728159898</c:v>
                </c:pt>
                <c:pt idx="6">
                  <c:v>0.17561388393645494</c:v>
                </c:pt>
                <c:pt idx="7">
                  <c:v>0.18134036987423086</c:v>
                </c:pt>
                <c:pt idx="8">
                  <c:v>0.18726728281982893</c:v>
                </c:pt>
                <c:pt idx="9">
                  <c:v>0.19340163771852292</c:v>
                </c:pt>
                <c:pt idx="10">
                  <c:v>0.19975069503867121</c:v>
                </c:pt>
                <c:pt idx="11">
                  <c:v>0.2063219693650247</c:v>
                </c:pt>
                <c:pt idx="12">
                  <c:v>0.21312323829280055</c:v>
                </c:pt>
                <c:pt idx="13">
                  <c:v>0.22016255163304857</c:v>
                </c:pt>
                <c:pt idx="14">
                  <c:v>0.22744824094020524</c:v>
                </c:pt>
                <c:pt idx="15">
                  <c:v>0.23498892937311242</c:v>
                </c:pt>
                <c:pt idx="16">
                  <c:v>0.24279354190117136</c:v>
                </c:pt>
                <c:pt idx="17">
                  <c:v>0.25087131586771233</c:v>
                </c:pt>
                <c:pt idx="18">
                  <c:v>0.25923181192308226</c:v>
                </c:pt>
                <c:pt idx="19">
                  <c:v>0.2678849253403901</c:v>
                </c:pt>
                <c:pt idx="20">
                  <c:v>0.27684089772730375</c:v>
                </c:pt>
                <c:pt idx="21">
                  <c:v>0.28611032914775936</c:v>
                </c:pt>
                <c:pt idx="22">
                  <c:v>0.29570419066793091</c:v>
                </c:pt>
                <c:pt idx="23">
                  <c:v>0.30563383734130845</c:v>
                </c:pt>
                <c:pt idx="24">
                  <c:v>0.31591102164825424</c:v>
                </c:pt>
              </c:numCache>
            </c:numRef>
          </c:val>
          <c:smooth val="0"/>
          <c:extLst>
            <c:ext xmlns:c16="http://schemas.microsoft.com/office/drawing/2014/chart" uri="{C3380CC4-5D6E-409C-BE32-E72D297353CC}">
              <c16:uniqueId val="{00000004-2A10-43FD-AF72-D1601B3D2E87}"/>
            </c:ext>
          </c:extLst>
        </c:ser>
        <c:ser>
          <c:idx val="7"/>
          <c:order val="6"/>
          <c:tx>
            <c:strRef>
              <c:f>'Xcel CSG Calculator'!$E$25</c:f>
              <c:strCache>
                <c:ptCount val="1"/>
                <c:pt idx="0">
                  <c:v>PROPOSAL 6</c:v>
                </c:pt>
              </c:strCache>
            </c:strRef>
          </c:tx>
          <c:marker>
            <c:symbol val="none"/>
          </c:marker>
          <c:val>
            <c:numRef>
              <c:f>'Detail 6'!$D$14:$D$38</c:f>
              <c:numCache>
                <c:formatCode>0.000</c:formatCode>
                <c:ptCount val="25"/>
                <c:pt idx="0">
                  <c:v>0.13779</c:v>
                </c:pt>
                <c:pt idx="1">
                  <c:v>0.14198264999999999</c:v>
                </c:pt>
                <c:pt idx="2">
                  <c:v>0.14632204274999996</c:v>
                </c:pt>
                <c:pt idx="3">
                  <c:v>0.15081331424624994</c:v>
                </c:pt>
                <c:pt idx="4">
                  <c:v>0.1554617802448687</c:v>
                </c:pt>
                <c:pt idx="5">
                  <c:v>0.1602729425534391</c:v>
                </c:pt>
                <c:pt idx="6">
                  <c:v>0.16525249554280946</c:v>
                </c:pt>
                <c:pt idx="7">
                  <c:v>0.17040633288680779</c:v>
                </c:pt>
                <c:pt idx="8">
                  <c:v>0.17574055453784604</c:v>
                </c:pt>
                <c:pt idx="9">
                  <c:v>0.18126147394667064</c:v>
                </c:pt>
                <c:pt idx="10">
                  <c:v>0.1869756255348041</c:v>
                </c:pt>
                <c:pt idx="11">
                  <c:v>0.19288977242852223</c:v>
                </c:pt>
                <c:pt idx="12">
                  <c:v>0.19901091446352051</c:v>
                </c:pt>
                <c:pt idx="13">
                  <c:v>0.20534629646974373</c:v>
                </c:pt>
                <c:pt idx="14">
                  <c:v>0.21190341684618472</c:v>
                </c:pt>
                <c:pt idx="15">
                  <c:v>0.21869003643580118</c:v>
                </c:pt>
                <c:pt idx="16">
                  <c:v>0.22571418771105423</c:v>
                </c:pt>
                <c:pt idx="17">
                  <c:v>0.23298418428094111</c:v>
                </c:pt>
                <c:pt idx="18">
                  <c:v>0.24050863073077405</c:v>
                </c:pt>
                <c:pt idx="19">
                  <c:v>0.24829643280635111</c:v>
                </c:pt>
                <c:pt idx="20">
                  <c:v>0.25635680795457338</c:v>
                </c:pt>
                <c:pt idx="21">
                  <c:v>0.26469929623298344</c:v>
                </c:pt>
                <c:pt idx="22">
                  <c:v>0.27333377160113781</c:v>
                </c:pt>
                <c:pt idx="23">
                  <c:v>0.28227045360717762</c:v>
                </c:pt>
                <c:pt idx="24">
                  <c:v>0.29151991948342881</c:v>
                </c:pt>
              </c:numCache>
            </c:numRef>
          </c:val>
          <c:smooth val="0"/>
          <c:extLst>
            <c:ext xmlns:c16="http://schemas.microsoft.com/office/drawing/2014/chart" uri="{C3380CC4-5D6E-409C-BE32-E72D297353CC}">
              <c16:uniqueId val="{00000005-2A10-43FD-AF72-D1601B3D2E87}"/>
            </c:ext>
          </c:extLst>
        </c:ser>
        <c:ser>
          <c:idx val="8"/>
          <c:order val="7"/>
          <c:tx>
            <c:strRef>
              <c:f>'Xcel CSG Calculator'!$E$26</c:f>
              <c:strCache>
                <c:ptCount val="1"/>
                <c:pt idx="0">
                  <c:v>PROPOSAL 7</c:v>
                </c:pt>
              </c:strCache>
            </c:strRef>
          </c:tx>
          <c:marker>
            <c:symbol val="none"/>
          </c:marker>
          <c:val>
            <c:numRef>
              <c:f>'Detail 7'!$D$14:$D$38</c:f>
              <c:numCache>
                <c:formatCode>0.000</c:formatCode>
                <c:ptCount val="25"/>
                <c:pt idx="0">
                  <c:v>0.140852</c:v>
                </c:pt>
                <c:pt idx="1">
                  <c:v>0.14513781999999997</c:v>
                </c:pt>
                <c:pt idx="2">
                  <c:v>0.14957364369999998</c:v>
                </c:pt>
                <c:pt idx="3">
                  <c:v>0.15416472122949995</c:v>
                </c:pt>
                <c:pt idx="4">
                  <c:v>0.15891648647253245</c:v>
                </c:pt>
                <c:pt idx="5">
                  <c:v>0.16383456349907108</c:v>
                </c:pt>
                <c:pt idx="6">
                  <c:v>0.16892477322153857</c:v>
                </c:pt>
                <c:pt idx="7">
                  <c:v>0.17419314028429239</c:v>
                </c:pt>
                <c:pt idx="8">
                  <c:v>0.17964590019424265</c:v>
                </c:pt>
                <c:pt idx="9">
                  <c:v>0.18528950670104111</c:v>
                </c:pt>
                <c:pt idx="10">
                  <c:v>0.19113063943557754</c:v>
                </c:pt>
                <c:pt idx="11">
                  <c:v>0.19717621181582273</c:v>
                </c:pt>
                <c:pt idx="12">
                  <c:v>0.20343337922937652</c:v>
                </c:pt>
                <c:pt idx="13">
                  <c:v>0.2099095475024047</c:v>
                </c:pt>
                <c:pt idx="14">
                  <c:v>0.21661238166498883</c:v>
                </c:pt>
                <c:pt idx="15">
                  <c:v>0.22354981502326343</c:v>
                </c:pt>
                <c:pt idx="16">
                  <c:v>0.23073005854907766</c:v>
                </c:pt>
                <c:pt idx="17">
                  <c:v>0.23816161059829535</c:v>
                </c:pt>
                <c:pt idx="18">
                  <c:v>0.24585326696923571</c:v>
                </c:pt>
                <c:pt idx="19">
                  <c:v>0.25381413131315889</c:v>
                </c:pt>
                <c:pt idx="20">
                  <c:v>0.26205362590911946</c:v>
                </c:pt>
                <c:pt idx="21">
                  <c:v>0.27058150281593862</c:v>
                </c:pt>
                <c:pt idx="22">
                  <c:v>0.27940785541449648</c:v>
                </c:pt>
                <c:pt idx="23">
                  <c:v>0.28854313035400381</c:v>
                </c:pt>
                <c:pt idx="24">
                  <c:v>0.2979981399163939</c:v>
                </c:pt>
              </c:numCache>
            </c:numRef>
          </c:val>
          <c:smooth val="0"/>
          <c:extLst>
            <c:ext xmlns:c16="http://schemas.microsoft.com/office/drawing/2014/chart" uri="{C3380CC4-5D6E-409C-BE32-E72D297353CC}">
              <c16:uniqueId val="{00000006-2A10-43FD-AF72-D1601B3D2E87}"/>
            </c:ext>
          </c:extLst>
        </c:ser>
        <c:dLbls>
          <c:showLegendKey val="0"/>
          <c:showVal val="0"/>
          <c:showCatName val="0"/>
          <c:showSerName val="0"/>
          <c:showPercent val="0"/>
          <c:showBubbleSize val="0"/>
        </c:dLbls>
        <c:smooth val="0"/>
        <c:axId val="309598072"/>
        <c:axId val="309604600"/>
      </c:lineChart>
      <c:catAx>
        <c:axId val="309598072"/>
        <c:scaling>
          <c:orientation val="minMax"/>
        </c:scaling>
        <c:delete val="0"/>
        <c:axPos val="b"/>
        <c:title>
          <c:tx>
            <c:rich>
              <a:bodyPr/>
              <a:lstStyle/>
              <a:p>
                <a:pPr>
                  <a:defRPr/>
                </a:pPr>
                <a:endParaRPr lang="en-US"/>
              </a:p>
              <a:p>
                <a:pPr>
                  <a:defRPr/>
                </a:pPr>
                <a:endParaRPr lang="en-US"/>
              </a:p>
              <a:p>
                <a:pPr>
                  <a:defRPr/>
                </a:pPr>
                <a:endParaRPr lang="en-US"/>
              </a:p>
            </c:rich>
          </c:tx>
          <c:overlay val="0"/>
        </c:title>
        <c:majorTickMark val="out"/>
        <c:minorTickMark val="none"/>
        <c:tickLblPos val="nextTo"/>
        <c:crossAx val="309604600"/>
        <c:crosses val="autoZero"/>
        <c:auto val="1"/>
        <c:lblAlgn val="ctr"/>
        <c:lblOffset val="100"/>
        <c:noMultiLvlLbl val="0"/>
      </c:catAx>
      <c:valAx>
        <c:axId val="309604600"/>
        <c:scaling>
          <c:orientation val="minMax"/>
        </c:scaling>
        <c:delete val="0"/>
        <c:axPos val="l"/>
        <c:majorGridlines/>
        <c:title>
          <c:tx>
            <c:rich>
              <a:bodyPr/>
              <a:lstStyle/>
              <a:p>
                <a:pPr>
                  <a:defRPr/>
                </a:pPr>
                <a:r>
                  <a:rPr lang="en-US"/>
                  <a:t>Rate ($/kWh)</a:t>
                </a:r>
              </a:p>
            </c:rich>
          </c:tx>
          <c:layout>
            <c:manualLayout>
              <c:xMode val="edge"/>
              <c:yMode val="edge"/>
              <c:x val="1.1361237058684557E-2"/>
              <c:y val="0.39753186257123263"/>
            </c:manualLayout>
          </c:layout>
          <c:overlay val="0"/>
        </c:title>
        <c:numFmt formatCode="_(&quot;$&quot;* #,##0.00_);_(&quot;$&quot;* \(#,##0.00\);_(&quot;$&quot;* &quot;-&quot;??_);_(@_)" sourceLinked="0"/>
        <c:majorTickMark val="none"/>
        <c:minorTickMark val="none"/>
        <c:tickLblPos val="nextTo"/>
        <c:crossAx val="309598072"/>
        <c:crosses val="autoZero"/>
        <c:crossBetween val="between"/>
      </c:valAx>
    </c:plotArea>
    <c:legend>
      <c:legendPos val="b"/>
      <c:layout>
        <c:manualLayout>
          <c:xMode val="edge"/>
          <c:yMode val="edge"/>
          <c:x val="0.11167221415758784"/>
          <c:y val="0.85132741008725266"/>
          <c:w val="0.87907630610419507"/>
          <c:h val="0.13515907639923389"/>
        </c:manualLayout>
      </c:layout>
      <c:overlay val="0"/>
    </c:legend>
    <c:plotVisOnly val="1"/>
    <c:dispBlanksAs val="gap"/>
    <c:showDLblsOverMax val="0"/>
  </c:chart>
  <c:spPr>
    <a:ln w="9525">
      <a:solidFill>
        <a:schemeClr val="tx1"/>
      </a:solidFill>
    </a:ln>
  </c:spPr>
  <c:txPr>
    <a:bodyPr/>
    <a:lstStyle/>
    <a:p>
      <a:pPr>
        <a:defRPr sz="1200" b="1"/>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image" Target="../media/image1.gif"/><Relationship Id="rId1" Type="http://schemas.openxmlformats.org/officeDocument/2006/relationships/chart" Target="../charts/chart1.xml"/><Relationship Id="rId4" Type="http://schemas.openxmlformats.org/officeDocument/2006/relationships/image" Target="../media/image3.gif"/></Relationships>
</file>

<file path=xl/drawings/drawing1.xml><?xml version="1.0" encoding="utf-8"?>
<xdr:wsDr xmlns:xdr="http://schemas.openxmlformats.org/drawingml/2006/spreadsheetDrawing" xmlns:a="http://schemas.openxmlformats.org/drawingml/2006/main">
  <xdr:twoCellAnchor>
    <xdr:from>
      <xdr:col>1</xdr:col>
      <xdr:colOff>0</xdr:colOff>
      <xdr:row>52</xdr:row>
      <xdr:rowOff>0</xdr:rowOff>
    </xdr:from>
    <xdr:to>
      <xdr:col>9</xdr:col>
      <xdr:colOff>0</xdr:colOff>
      <xdr:row>70</xdr:row>
      <xdr:rowOff>2914650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76201</xdr:colOff>
      <xdr:row>6</xdr:row>
      <xdr:rowOff>2557</xdr:rowOff>
    </xdr:from>
    <xdr:to>
      <xdr:col>10</xdr:col>
      <xdr:colOff>1123467</xdr:colOff>
      <xdr:row>7</xdr:row>
      <xdr:rowOff>436245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72301" y="3477277"/>
          <a:ext cx="1519706" cy="883268"/>
        </a:xfrm>
        <a:prstGeom prst="rect">
          <a:avLst/>
        </a:prstGeom>
      </xdr:spPr>
    </xdr:pic>
    <xdr:clientData/>
  </xdr:twoCellAnchor>
  <xdr:twoCellAnchor editAs="oneCell">
    <xdr:from>
      <xdr:col>9</xdr:col>
      <xdr:colOff>69991</xdr:colOff>
      <xdr:row>27</xdr:row>
      <xdr:rowOff>238933</xdr:rowOff>
    </xdr:from>
    <xdr:to>
      <xdr:col>10</xdr:col>
      <xdr:colOff>1110619</xdr:colOff>
      <xdr:row>29</xdr:row>
      <xdr:rowOff>178575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966091" y="8369473"/>
          <a:ext cx="1513068" cy="899762"/>
        </a:xfrm>
        <a:prstGeom prst="rect">
          <a:avLst/>
        </a:prstGeom>
      </xdr:spPr>
    </xdr:pic>
    <xdr:clientData/>
  </xdr:twoCellAnchor>
  <xdr:twoCellAnchor editAs="oneCell">
    <xdr:from>
      <xdr:col>9</xdr:col>
      <xdr:colOff>67591</xdr:colOff>
      <xdr:row>12</xdr:row>
      <xdr:rowOff>240907</xdr:rowOff>
    </xdr:from>
    <xdr:to>
      <xdr:col>10</xdr:col>
      <xdr:colOff>1104901</xdr:colOff>
      <xdr:row>14</xdr:row>
      <xdr:rowOff>446685</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963691" y="6595987"/>
          <a:ext cx="1509750" cy="899198"/>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0.07316</cdr:x>
      <cdr:y>0.02682</cdr:y>
    </cdr:from>
    <cdr:to>
      <cdr:x>0.90917</cdr:x>
      <cdr:y>0.15465</cdr:y>
    </cdr:to>
    <cdr:sp macro="" textlink="">
      <cdr:nvSpPr>
        <cdr:cNvPr id="2" name="TextBox 1">
          <a:extLst xmlns:a="http://schemas.openxmlformats.org/drawingml/2006/main">
            <a:ext uri="{FF2B5EF4-FFF2-40B4-BE49-F238E27FC236}">
              <a16:creationId xmlns:a16="http://schemas.microsoft.com/office/drawing/2014/main" id="{586DFB49-571A-4C8C-B0F3-B62FE7716C92}"/>
            </a:ext>
          </a:extLst>
        </cdr:cNvPr>
        <cdr:cNvSpPr txBox="1"/>
      </cdr:nvSpPr>
      <cdr:spPr>
        <a:xfrm xmlns:a="http://schemas.openxmlformats.org/drawingml/2006/main">
          <a:off x="565150" y="170168"/>
          <a:ext cx="6457950" cy="8109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Based on your inputs above, the</a:t>
          </a:r>
          <a:r>
            <a:rPr lang="en-US" sz="1100" baseline="0">
              <a:effectLst/>
              <a:latin typeface="+mn-lt"/>
              <a:ea typeface="+mn-ea"/>
              <a:cs typeface="+mn-cs"/>
            </a:rPr>
            <a:t> </a:t>
          </a:r>
          <a:r>
            <a:rPr lang="en-US" sz="1100" b="1" baseline="0">
              <a:solidFill>
                <a:schemeClr val="accent3"/>
              </a:solidFill>
              <a:effectLst/>
              <a:latin typeface="+mn-lt"/>
              <a:ea typeface="+mn-ea"/>
              <a:cs typeface="+mn-cs"/>
            </a:rPr>
            <a:t>dashed green line </a:t>
          </a:r>
          <a:r>
            <a:rPr lang="en-US" sz="1100" baseline="0">
              <a:effectLst/>
              <a:latin typeface="+mn-lt"/>
              <a:ea typeface="+mn-ea"/>
              <a:cs typeface="+mn-cs"/>
            </a:rPr>
            <a:t>in this chart shows what you will recieve -- per kWh produced by your solar garden subscription -- as a credit on your monthly electricity bill from Xcel Energy; the colored lines </a:t>
          </a:r>
          <a:r>
            <a:rPr lang="en-US" sz="1100"/>
            <a:t>in this chart show </a:t>
          </a:r>
          <a:r>
            <a:rPr lang="en-US" sz="1100" baseline="0"/>
            <a:t>what you will pay -- per kWh produced by your solar garden subscription -- to the garden developer. </a:t>
          </a:r>
          <a:r>
            <a:rPr lang="en-US" sz="1100" i="1" baseline="0"/>
            <a:t>HINT: When the green line is above the colored line, you are saving money due to your subscription.</a:t>
          </a:r>
          <a:endParaRPr lang="en-US" sz="1100" i="1"/>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www.xcelenergy.com/staticfiles/xe-responsive/Admin/Managed%20Documents%20&amp;%20PDFs/MN-SRC-Eligible-Billing-Rate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76"/>
  <sheetViews>
    <sheetView tabSelected="1" zoomScaleNormal="100" workbookViewId="0">
      <selection activeCell="B4" sqref="B4:I4"/>
    </sheetView>
  </sheetViews>
  <sheetFormatPr defaultColWidth="8.85546875" defaultRowHeight="15" x14ac:dyDescent="0.25"/>
  <cols>
    <col min="1" max="1" width="5.140625" style="62" customWidth="1"/>
    <col min="2" max="2" width="4" style="156" customWidth="1"/>
    <col min="3" max="3" width="9.28515625" style="156" customWidth="1"/>
    <col min="4" max="4" width="12.5703125" style="156" customWidth="1"/>
    <col min="5" max="9" width="18" style="156" customWidth="1"/>
    <col min="10" max="10" width="6.85546875" style="62" customWidth="1"/>
    <col min="11" max="11" width="19.28515625" style="156" customWidth="1"/>
    <col min="12" max="12" width="99.140625" style="156" customWidth="1"/>
    <col min="13" max="13" width="14" style="156" customWidth="1"/>
    <col min="14" max="14" width="14.7109375" style="156" customWidth="1"/>
    <col min="15" max="15" width="14.140625" style="156" customWidth="1"/>
    <col min="16" max="16" width="12.28515625" style="156" customWidth="1"/>
    <col min="17" max="17" width="8.85546875" style="156"/>
    <col min="18" max="18" width="9.42578125" style="156" customWidth="1"/>
    <col min="19" max="19" width="2.85546875" style="156" customWidth="1"/>
    <col min="20" max="20" width="76.28515625" style="156" customWidth="1"/>
    <col min="21" max="16384" width="8.85546875" style="156"/>
  </cols>
  <sheetData>
    <row r="1" spans="1:20" x14ac:dyDescent="0.25">
      <c r="B1" s="62"/>
      <c r="C1" s="62"/>
      <c r="D1" s="62"/>
      <c r="E1" s="62"/>
      <c r="F1" s="62"/>
      <c r="G1" s="62"/>
      <c r="H1" s="62"/>
      <c r="I1" s="62"/>
      <c r="K1" s="62"/>
      <c r="L1" s="62"/>
      <c r="M1" s="71"/>
      <c r="N1" s="71"/>
      <c r="O1" s="71"/>
      <c r="P1" s="71"/>
      <c r="Q1" s="71"/>
      <c r="R1" s="71"/>
      <c r="S1" s="71"/>
      <c r="T1" s="71"/>
    </row>
    <row r="2" spans="1:20" ht="25.9" customHeight="1" x14ac:dyDescent="0.25">
      <c r="B2" s="201" t="s">
        <v>0</v>
      </c>
      <c r="C2" s="202"/>
      <c r="D2" s="202"/>
      <c r="E2" s="202"/>
      <c r="F2" s="202"/>
      <c r="G2" s="202"/>
      <c r="H2" s="202"/>
      <c r="I2" s="203"/>
      <c r="K2" s="62"/>
      <c r="L2" s="62"/>
      <c r="M2" s="71"/>
      <c r="N2" s="71"/>
      <c r="O2" s="71"/>
      <c r="P2" s="71"/>
      <c r="Q2" s="71"/>
      <c r="R2" s="71"/>
      <c r="S2" s="72"/>
      <c r="T2" s="72"/>
    </row>
    <row r="3" spans="1:20" ht="22.9" customHeight="1" x14ac:dyDescent="0.25">
      <c r="B3" s="204" t="s">
        <v>1</v>
      </c>
      <c r="C3" s="205"/>
      <c r="D3" s="205"/>
      <c r="E3" s="205"/>
      <c r="F3" s="205"/>
      <c r="G3" s="205"/>
      <c r="H3" s="205"/>
      <c r="I3" s="206"/>
      <c r="K3" s="62"/>
      <c r="L3" s="62"/>
      <c r="M3" s="71"/>
      <c r="N3" s="71"/>
      <c r="O3" s="71"/>
      <c r="P3" s="71"/>
      <c r="Q3" s="71"/>
      <c r="R3" s="71"/>
      <c r="S3" s="71"/>
      <c r="T3" s="71"/>
    </row>
    <row r="4" spans="1:20" ht="149.25" customHeight="1" x14ac:dyDescent="0.25">
      <c r="B4" s="207" t="s">
        <v>144</v>
      </c>
      <c r="C4" s="208"/>
      <c r="D4" s="208"/>
      <c r="E4" s="208"/>
      <c r="F4" s="208"/>
      <c r="G4" s="208"/>
      <c r="H4" s="208"/>
      <c r="I4" s="209"/>
      <c r="K4" s="62"/>
      <c r="L4" s="62"/>
      <c r="M4" s="71"/>
      <c r="N4" s="71"/>
      <c r="O4" s="71"/>
      <c r="P4" s="71"/>
      <c r="Q4" s="71"/>
      <c r="R4" s="71"/>
      <c r="S4" s="71"/>
      <c r="T4" s="71"/>
    </row>
    <row r="5" spans="1:20" ht="13.15" customHeight="1" x14ac:dyDescent="0.25">
      <c r="A5" s="64"/>
      <c r="B5" s="62"/>
      <c r="C5" s="62"/>
      <c r="D5" s="65"/>
      <c r="E5" s="65"/>
      <c r="F5" s="65"/>
      <c r="G5" s="65"/>
      <c r="H5" s="62"/>
      <c r="I5" s="62"/>
      <c r="K5" s="62"/>
      <c r="L5" s="62"/>
      <c r="M5" s="71"/>
      <c r="N5" s="71"/>
      <c r="O5" s="71"/>
      <c r="P5" s="71"/>
      <c r="Q5" s="71"/>
      <c r="R5" s="71"/>
      <c r="S5" s="71"/>
      <c r="T5" s="71"/>
    </row>
    <row r="6" spans="1:20" ht="19.149999999999999" customHeight="1" x14ac:dyDescent="0.25">
      <c r="B6" s="178" t="s">
        <v>139</v>
      </c>
      <c r="C6" s="179"/>
      <c r="D6" s="179"/>
      <c r="E6" s="179"/>
      <c r="F6" s="179"/>
      <c r="G6" s="180"/>
      <c r="H6" s="66" t="s">
        <v>2</v>
      </c>
      <c r="I6" s="67" t="s">
        <v>3</v>
      </c>
      <c r="K6" s="62"/>
      <c r="L6" s="62"/>
      <c r="M6" s="71"/>
      <c r="N6" s="71"/>
      <c r="O6" s="71"/>
      <c r="P6" s="71"/>
      <c r="Q6" s="71"/>
      <c r="R6" s="71"/>
      <c r="S6" s="71"/>
      <c r="T6" s="71"/>
    </row>
    <row r="7" spans="1:20" ht="35.450000000000003" customHeight="1" x14ac:dyDescent="0.25">
      <c r="B7" s="68">
        <v>1</v>
      </c>
      <c r="C7" s="174" t="s">
        <v>4</v>
      </c>
      <c r="D7" s="174"/>
      <c r="E7" s="174"/>
      <c r="F7" s="174"/>
      <c r="G7" s="174"/>
      <c r="H7" s="104">
        <v>9600</v>
      </c>
      <c r="I7" s="153" t="s">
        <v>5</v>
      </c>
      <c r="K7" s="62"/>
      <c r="L7" s="62"/>
      <c r="M7" s="71"/>
      <c r="N7" s="71"/>
      <c r="O7" s="71"/>
      <c r="P7" s="71"/>
      <c r="Q7" s="71"/>
      <c r="R7" s="71"/>
      <c r="S7" s="71"/>
      <c r="T7" s="71"/>
    </row>
    <row r="8" spans="1:20" ht="35.450000000000003" customHeight="1" x14ac:dyDescent="0.25">
      <c r="B8" s="69">
        <v>2</v>
      </c>
      <c r="C8" s="174" t="s">
        <v>138</v>
      </c>
      <c r="D8" s="174"/>
      <c r="E8" s="174"/>
      <c r="F8" s="174"/>
      <c r="G8" s="174"/>
      <c r="H8" s="92">
        <v>0.1331</v>
      </c>
      <c r="I8" s="153" t="s">
        <v>6</v>
      </c>
      <c r="K8" s="62"/>
      <c r="L8" s="62"/>
      <c r="M8" s="71"/>
      <c r="N8" s="71"/>
      <c r="O8" s="71"/>
      <c r="P8" s="71"/>
      <c r="Q8" s="71"/>
      <c r="R8" s="71"/>
      <c r="S8" s="71"/>
      <c r="T8" s="71"/>
    </row>
    <row r="9" spans="1:20" ht="35.450000000000003" customHeight="1" x14ac:dyDescent="0.25">
      <c r="B9" s="105">
        <v>3</v>
      </c>
      <c r="C9" s="174" t="s">
        <v>7</v>
      </c>
      <c r="D9" s="174"/>
      <c r="E9" s="174"/>
      <c r="F9" s="174"/>
      <c r="G9" s="174"/>
      <c r="H9" s="154">
        <v>0.02</v>
      </c>
      <c r="I9" s="153" t="s">
        <v>6</v>
      </c>
      <c r="K9" s="62"/>
      <c r="L9" s="62"/>
      <c r="M9" s="71"/>
      <c r="N9" s="71"/>
      <c r="O9" s="71"/>
      <c r="P9" s="71"/>
      <c r="Q9" s="71"/>
      <c r="R9" s="71"/>
      <c r="S9" s="71"/>
      <c r="T9" s="71"/>
    </row>
    <row r="10" spans="1:20" ht="56.25" customHeight="1" x14ac:dyDescent="0.25">
      <c r="A10" s="64"/>
      <c r="B10" s="69">
        <v>7</v>
      </c>
      <c r="C10" s="174" t="s">
        <v>137</v>
      </c>
      <c r="D10" s="174"/>
      <c r="E10" s="174"/>
      <c r="F10" s="174"/>
      <c r="G10" s="174"/>
      <c r="H10" s="76">
        <v>3.5000000000000003E-2</v>
      </c>
      <c r="I10" s="153" t="s">
        <v>8</v>
      </c>
      <c r="J10" s="64"/>
      <c r="K10" s="62"/>
      <c r="L10" s="62"/>
      <c r="M10" s="71"/>
      <c r="N10" s="71"/>
      <c r="O10" s="71"/>
      <c r="P10" s="71"/>
      <c r="Q10" s="71"/>
      <c r="R10" s="71"/>
      <c r="S10" s="71"/>
      <c r="T10" s="71"/>
    </row>
    <row r="11" spans="1:20" ht="35.450000000000003" customHeight="1" x14ac:dyDescent="0.25">
      <c r="A11" s="64"/>
      <c r="B11" s="69">
        <v>8</v>
      </c>
      <c r="C11" s="174" t="s">
        <v>112</v>
      </c>
      <c r="D11" s="174"/>
      <c r="E11" s="174"/>
      <c r="F11" s="174"/>
      <c r="G11" s="174"/>
      <c r="H11" s="143">
        <v>0</v>
      </c>
      <c r="I11" s="153" t="s">
        <v>8</v>
      </c>
      <c r="J11" s="64"/>
      <c r="K11" s="62"/>
      <c r="L11" s="62"/>
      <c r="M11" s="71"/>
      <c r="N11" s="71"/>
      <c r="O11" s="71"/>
      <c r="P11" s="71"/>
      <c r="Q11" s="71"/>
      <c r="R11" s="71"/>
      <c r="S11" s="71"/>
      <c r="T11" s="71"/>
    </row>
    <row r="12" spans="1:20" s="62" customFormat="1" ht="35.450000000000003" customHeight="1" x14ac:dyDescent="0.25">
      <c r="A12" s="64"/>
      <c r="B12" s="147"/>
      <c r="C12" s="147"/>
      <c r="D12" s="148"/>
      <c r="E12" s="148"/>
      <c r="F12" s="148"/>
      <c r="G12" s="148"/>
      <c r="H12" s="157"/>
      <c r="I12" s="149"/>
      <c r="J12" s="64"/>
    </row>
    <row r="13" spans="1:20" ht="17.45" customHeight="1" x14ac:dyDescent="0.25">
      <c r="A13" s="64"/>
      <c r="B13" s="178" t="s">
        <v>140</v>
      </c>
      <c r="C13" s="179"/>
      <c r="D13" s="179"/>
      <c r="E13" s="179"/>
      <c r="F13" s="179"/>
      <c r="G13" s="179"/>
      <c r="H13" s="179"/>
      <c r="I13" s="180"/>
      <c r="K13" s="62"/>
      <c r="L13" s="62"/>
      <c r="M13" s="71"/>
      <c r="N13" s="71"/>
      <c r="O13" s="71"/>
      <c r="P13" s="71"/>
      <c r="Q13" s="71"/>
      <c r="R13" s="71"/>
      <c r="S13" s="71"/>
      <c r="T13" s="71"/>
    </row>
    <row r="14" spans="1:20" ht="35.450000000000003" customHeight="1" x14ac:dyDescent="0.25">
      <c r="A14" s="64"/>
      <c r="B14" s="193" t="s">
        <v>9</v>
      </c>
      <c r="C14" s="194"/>
      <c r="D14" s="194"/>
      <c r="E14" s="194"/>
      <c r="F14" s="194"/>
      <c r="G14" s="195"/>
      <c r="H14" s="86">
        <f>'system size'!B7</f>
        <v>7.8709169618260519</v>
      </c>
      <c r="I14" s="77" t="s">
        <v>128</v>
      </c>
      <c r="K14" s="62"/>
      <c r="L14" s="62"/>
      <c r="M14" s="71"/>
      <c r="N14" s="71"/>
      <c r="O14" s="71"/>
      <c r="P14" s="71"/>
      <c r="Q14" s="71"/>
      <c r="R14" s="71"/>
      <c r="S14" s="71"/>
      <c r="T14" s="71"/>
    </row>
    <row r="15" spans="1:20" ht="35.450000000000003" customHeight="1" x14ac:dyDescent="0.25">
      <c r="A15" s="64"/>
      <c r="B15" s="191" t="s">
        <v>10</v>
      </c>
      <c r="C15" s="191"/>
      <c r="D15" s="191"/>
      <c r="E15" s="191"/>
      <c r="F15" s="191"/>
      <c r="G15" s="191"/>
      <c r="H15" s="158">
        <v>300</v>
      </c>
      <c r="I15" s="77" t="s">
        <v>129</v>
      </c>
      <c r="K15" s="62"/>
      <c r="L15" s="62"/>
      <c r="M15" s="71"/>
      <c r="N15" s="71"/>
      <c r="O15" s="71"/>
      <c r="P15" s="71"/>
      <c r="Q15" s="71"/>
      <c r="R15" s="71"/>
      <c r="S15" s="71"/>
      <c r="T15" s="71"/>
    </row>
    <row r="16" spans="1:20" ht="35.450000000000003" customHeight="1" x14ac:dyDescent="0.25">
      <c r="A16" s="64"/>
      <c r="B16" s="191" t="s">
        <v>11</v>
      </c>
      <c r="C16" s="191"/>
      <c r="D16" s="191"/>
      <c r="E16" s="191"/>
      <c r="F16" s="191"/>
      <c r="G16" s="191"/>
      <c r="H16" s="87">
        <f>(H14*1000)/H15</f>
        <v>26.236389872753506</v>
      </c>
      <c r="I16" s="77" t="s">
        <v>12</v>
      </c>
      <c r="K16" s="62"/>
      <c r="L16" s="62"/>
      <c r="M16" s="71"/>
      <c r="N16" s="71"/>
      <c r="O16" s="71"/>
      <c r="P16" s="71"/>
      <c r="Q16" s="71"/>
      <c r="R16" s="71"/>
      <c r="S16" s="71"/>
      <c r="T16" s="71"/>
    </row>
    <row r="17" spans="1:20" s="62" customFormat="1" ht="35.450000000000003" customHeight="1" x14ac:dyDescent="0.25">
      <c r="A17" s="64"/>
      <c r="B17" s="147"/>
      <c r="C17" s="147"/>
      <c r="D17" s="148"/>
      <c r="E17" s="148"/>
      <c r="F17" s="148"/>
      <c r="G17" s="148"/>
      <c r="H17" s="157"/>
      <c r="I17" s="149"/>
      <c r="J17" s="64"/>
    </row>
    <row r="18" spans="1:20" ht="18" customHeight="1" x14ac:dyDescent="0.25">
      <c r="A18" s="64"/>
      <c r="B18" s="192" t="s">
        <v>141</v>
      </c>
      <c r="C18" s="192"/>
      <c r="D18" s="192"/>
      <c r="E18" s="192"/>
      <c r="F18" s="192"/>
      <c r="G18" s="192"/>
      <c r="H18" s="192"/>
      <c r="I18" s="192"/>
      <c r="J18" s="64"/>
      <c r="K18" s="62"/>
      <c r="L18" s="62"/>
      <c r="M18" s="71"/>
      <c r="N18" s="71"/>
      <c r="O18" s="71"/>
      <c r="P18" s="71"/>
      <c r="Q18" s="71"/>
      <c r="R18" s="71"/>
      <c r="S18" s="71"/>
      <c r="T18" s="71"/>
    </row>
    <row r="19" spans="1:20" ht="35.450000000000003" customHeight="1" x14ac:dyDescent="0.25">
      <c r="A19" s="64"/>
      <c r="B19" s="185" t="s">
        <v>13</v>
      </c>
      <c r="C19" s="185"/>
      <c r="D19" s="144" t="s">
        <v>14</v>
      </c>
      <c r="E19" s="144" t="s">
        <v>15</v>
      </c>
      <c r="F19" s="144" t="s">
        <v>16</v>
      </c>
      <c r="G19" s="144" t="s">
        <v>17</v>
      </c>
      <c r="H19" s="144" t="s">
        <v>113</v>
      </c>
      <c r="I19" s="144" t="s">
        <v>114</v>
      </c>
      <c r="J19" s="64"/>
      <c r="K19" s="62"/>
      <c r="L19" s="62"/>
      <c r="M19" s="71"/>
      <c r="N19" s="71"/>
      <c r="O19" s="71"/>
      <c r="P19" s="71"/>
      <c r="Q19" s="71"/>
      <c r="R19" s="71"/>
      <c r="S19" s="71"/>
      <c r="T19" s="71"/>
    </row>
    <row r="20" spans="1:20" ht="22.9" customHeight="1" x14ac:dyDescent="0.3">
      <c r="A20" s="64"/>
      <c r="B20" s="186" t="s">
        <v>127</v>
      </c>
      <c r="C20" s="186"/>
      <c r="D20" s="159">
        <v>1</v>
      </c>
      <c r="E20" s="162" t="s">
        <v>117</v>
      </c>
      <c r="F20" s="163">
        <v>0.1</v>
      </c>
      <c r="G20" s="164">
        <v>0</v>
      </c>
      <c r="H20" s="161" t="s">
        <v>19</v>
      </c>
      <c r="I20" s="161" t="s">
        <v>19</v>
      </c>
      <c r="J20" s="64"/>
      <c r="K20" s="62"/>
      <c r="L20" s="62"/>
      <c r="M20" s="71"/>
      <c r="N20" s="71"/>
      <c r="O20" s="71"/>
      <c r="P20" s="71"/>
      <c r="Q20" s="71"/>
      <c r="R20" s="71"/>
      <c r="S20" s="71"/>
      <c r="T20" s="71"/>
    </row>
    <row r="21" spans="1:20" ht="22.9" customHeight="1" x14ac:dyDescent="0.3">
      <c r="A21" s="64"/>
      <c r="B21" s="186"/>
      <c r="C21" s="186"/>
      <c r="D21" s="159">
        <v>2</v>
      </c>
      <c r="E21" s="162" t="s">
        <v>118</v>
      </c>
      <c r="F21" s="163">
        <v>0.08</v>
      </c>
      <c r="G21" s="164">
        <v>2.5000000000000001E-2</v>
      </c>
      <c r="H21" s="161" t="s">
        <v>19</v>
      </c>
      <c r="I21" s="161" t="s">
        <v>19</v>
      </c>
      <c r="J21" s="64"/>
      <c r="K21" s="62"/>
      <c r="L21" s="62"/>
      <c r="M21" s="71"/>
      <c r="N21" s="71"/>
      <c r="O21" s="71"/>
      <c r="P21" s="71"/>
      <c r="Q21" s="71"/>
      <c r="R21" s="71"/>
      <c r="S21" s="71"/>
      <c r="T21" s="71"/>
    </row>
    <row r="22" spans="1:20" ht="22.9" customHeight="1" x14ac:dyDescent="0.3">
      <c r="A22" s="64"/>
      <c r="B22" s="186"/>
      <c r="C22" s="186"/>
      <c r="D22" s="159">
        <v>3</v>
      </c>
      <c r="E22" s="162" t="s">
        <v>119</v>
      </c>
      <c r="F22" s="163">
        <v>0.115</v>
      </c>
      <c r="G22" s="164">
        <v>0</v>
      </c>
      <c r="H22" s="161" t="s">
        <v>19</v>
      </c>
      <c r="I22" s="161" t="s">
        <v>19</v>
      </c>
      <c r="J22" s="64"/>
      <c r="K22" s="62"/>
      <c r="L22" s="62"/>
      <c r="M22" s="71"/>
      <c r="N22" s="71"/>
      <c r="O22" s="71"/>
      <c r="P22" s="71"/>
      <c r="Q22" s="71"/>
      <c r="R22" s="71"/>
      <c r="S22" s="71"/>
      <c r="T22" s="71"/>
    </row>
    <row r="23" spans="1:20" ht="22.9" customHeight="1" x14ac:dyDescent="0.3">
      <c r="A23" s="64"/>
      <c r="B23" s="186" t="s">
        <v>124</v>
      </c>
      <c r="C23" s="186"/>
      <c r="D23" s="159">
        <v>4</v>
      </c>
      <c r="E23" s="162" t="s">
        <v>120</v>
      </c>
      <c r="F23" s="160">
        <f>'Detail 4'!D14</f>
        <v>0.14309999999999998</v>
      </c>
      <c r="G23" s="161" t="s">
        <v>19</v>
      </c>
      <c r="H23" s="165">
        <v>0.01</v>
      </c>
      <c r="I23" s="166">
        <v>0</v>
      </c>
      <c r="J23" s="64"/>
      <c r="K23" s="62"/>
      <c r="L23" s="62"/>
      <c r="M23" s="71"/>
      <c r="N23" s="71"/>
      <c r="O23" s="71"/>
      <c r="P23" s="71"/>
      <c r="Q23" s="71"/>
      <c r="R23" s="71"/>
      <c r="S23" s="71"/>
      <c r="T23" s="71"/>
    </row>
    <row r="24" spans="1:20" ht="22.9" customHeight="1" x14ac:dyDescent="0.3">
      <c r="A24" s="64"/>
      <c r="B24" s="186"/>
      <c r="C24" s="186"/>
      <c r="D24" s="159">
        <v>5</v>
      </c>
      <c r="E24" s="162" t="s">
        <v>121</v>
      </c>
      <c r="F24" s="160">
        <f>'Detail 5'!D14</f>
        <v>0.14509999999999998</v>
      </c>
      <c r="G24" s="161" t="s">
        <v>19</v>
      </c>
      <c r="H24" s="165">
        <v>8.0000000000000002E-3</v>
      </c>
      <c r="I24" s="166">
        <v>0</v>
      </c>
      <c r="J24" s="64"/>
      <c r="K24" s="62"/>
      <c r="L24" s="62"/>
      <c r="M24" s="71"/>
      <c r="N24" s="71"/>
      <c r="O24" s="71"/>
      <c r="P24" s="71"/>
      <c r="Q24" s="71"/>
      <c r="R24" s="71"/>
      <c r="S24" s="71"/>
      <c r="T24" s="71"/>
    </row>
    <row r="25" spans="1:20" ht="22.9" customHeight="1" x14ac:dyDescent="0.3">
      <c r="A25" s="64"/>
      <c r="B25" s="187" t="s">
        <v>126</v>
      </c>
      <c r="C25" s="188"/>
      <c r="D25" s="159">
        <v>6</v>
      </c>
      <c r="E25" s="162" t="s">
        <v>122</v>
      </c>
      <c r="F25" s="160">
        <f>'Detail 6'!D14</f>
        <v>0.13779</v>
      </c>
      <c r="G25" s="161" t="s">
        <v>19</v>
      </c>
      <c r="H25" s="167">
        <v>0.1</v>
      </c>
      <c r="I25" s="166">
        <v>0</v>
      </c>
      <c r="J25" s="64"/>
      <c r="K25" s="62"/>
      <c r="L25" s="62"/>
      <c r="M25" s="71"/>
      <c r="N25" s="71"/>
      <c r="O25" s="71"/>
      <c r="P25" s="71"/>
      <c r="Q25" s="71"/>
      <c r="R25" s="71"/>
      <c r="S25" s="71"/>
      <c r="T25" s="71"/>
    </row>
    <row r="26" spans="1:20" ht="22.9" customHeight="1" x14ac:dyDescent="0.3">
      <c r="A26" s="64"/>
      <c r="B26" s="189"/>
      <c r="C26" s="190"/>
      <c r="D26" s="159">
        <v>7</v>
      </c>
      <c r="E26" s="162" t="s">
        <v>123</v>
      </c>
      <c r="F26" s="160">
        <f>'Detail 7'!D14</f>
        <v>0.140852</v>
      </c>
      <c r="G26" s="161" t="s">
        <v>19</v>
      </c>
      <c r="H26" s="167">
        <v>0.08</v>
      </c>
      <c r="I26" s="166">
        <v>0</v>
      </c>
      <c r="J26" s="64"/>
      <c r="K26" s="62"/>
      <c r="L26" s="62"/>
      <c r="M26" s="71"/>
      <c r="N26" s="71"/>
      <c r="O26" s="71"/>
      <c r="P26" s="71"/>
      <c r="Q26" s="71"/>
      <c r="R26" s="71"/>
      <c r="S26" s="71"/>
      <c r="T26" s="71"/>
    </row>
    <row r="27" spans="1:20" ht="22.15" customHeight="1" x14ac:dyDescent="0.25">
      <c r="B27" s="62"/>
      <c r="C27" s="62"/>
      <c r="D27" s="62"/>
      <c r="E27" s="62"/>
      <c r="F27" s="62"/>
      <c r="G27" s="62"/>
      <c r="H27" s="62"/>
      <c r="I27" s="62"/>
      <c r="K27" s="62"/>
      <c r="L27" s="62"/>
      <c r="M27" s="71"/>
      <c r="N27" s="71"/>
      <c r="O27" s="71"/>
      <c r="P27" s="71"/>
      <c r="Q27" s="71"/>
      <c r="R27" s="71"/>
      <c r="S27" s="71"/>
      <c r="T27" s="71"/>
    </row>
    <row r="28" spans="1:20" ht="19.149999999999999" customHeight="1" x14ac:dyDescent="0.25">
      <c r="B28" s="192" t="s">
        <v>142</v>
      </c>
      <c r="C28" s="192"/>
      <c r="D28" s="192"/>
      <c r="E28" s="192"/>
      <c r="F28" s="192"/>
      <c r="G28" s="192"/>
      <c r="H28" s="192"/>
      <c r="I28" s="192"/>
      <c r="J28" s="63"/>
      <c r="K28" s="63"/>
      <c r="L28" s="63"/>
      <c r="M28" s="72"/>
      <c r="N28" s="72"/>
      <c r="O28" s="72"/>
      <c r="P28" s="71"/>
      <c r="Q28" s="71"/>
      <c r="R28" s="71"/>
      <c r="S28" s="71"/>
      <c r="T28" s="71"/>
    </row>
    <row r="29" spans="1:20" ht="56.45" customHeight="1" x14ac:dyDescent="0.25">
      <c r="B29" s="198" t="s">
        <v>20</v>
      </c>
      <c r="C29" s="198"/>
      <c r="D29" s="198"/>
      <c r="E29" s="198"/>
      <c r="F29" s="198"/>
      <c r="G29" s="198"/>
      <c r="H29" s="198"/>
      <c r="I29" s="198"/>
      <c r="J29" s="63"/>
      <c r="K29" s="63"/>
      <c r="L29" s="63"/>
      <c r="M29" s="72"/>
      <c r="N29" s="72"/>
      <c r="O29" s="72"/>
      <c r="P29" s="71"/>
      <c r="Q29" s="71"/>
      <c r="R29" s="71"/>
      <c r="S29" s="71"/>
      <c r="T29" s="71"/>
    </row>
    <row r="30" spans="1:20" ht="39" customHeight="1" x14ac:dyDescent="0.25">
      <c r="B30" s="145" t="s">
        <v>21</v>
      </c>
      <c r="C30" s="184" t="s">
        <v>15</v>
      </c>
      <c r="D30" s="184"/>
      <c r="E30" s="144" t="s">
        <v>22</v>
      </c>
      <c r="F30" s="144" t="s">
        <v>23</v>
      </c>
      <c r="G30" s="144" t="s">
        <v>24</v>
      </c>
      <c r="H30" s="144" t="s">
        <v>25</v>
      </c>
      <c r="I30" s="144" t="s">
        <v>26</v>
      </c>
      <c r="J30" s="70"/>
      <c r="K30" s="64"/>
      <c r="L30" s="64"/>
      <c r="M30" s="73"/>
      <c r="N30" s="73"/>
      <c r="O30" s="73"/>
      <c r="P30" s="71"/>
      <c r="Q30" s="71"/>
      <c r="R30" s="71"/>
      <c r="S30" s="71"/>
      <c r="T30" s="71"/>
    </row>
    <row r="31" spans="1:20" ht="25.15" customHeight="1" x14ac:dyDescent="0.25">
      <c r="B31" s="142">
        <v>1</v>
      </c>
      <c r="C31" s="177" t="str">
        <f>E20</f>
        <v>PROPOSAL 1</v>
      </c>
      <c r="D31" s="177"/>
      <c r="E31" s="141">
        <f>'Detail 1'!$J$17/12</f>
        <v>57.033183304028022</v>
      </c>
      <c r="F31" s="141">
        <f>'Detail 1'!$J$22/12</f>
        <v>77.543014978819926</v>
      </c>
      <c r="G31" s="141">
        <f>'Detail 1'!$J$27/12</f>
        <v>101.01514386103524</v>
      </c>
      <c r="H31" s="141">
        <f>'Detail 1'!$J$32/12</f>
        <v>127.92550495295318</v>
      </c>
      <c r="I31" s="141">
        <f>'Detail 1'!$J$37/12</f>
        <v>158.82519470748716</v>
      </c>
      <c r="J31" s="70"/>
      <c r="K31" s="64"/>
      <c r="L31" s="64"/>
      <c r="M31" s="73"/>
      <c r="N31" s="73"/>
      <c r="O31" s="73"/>
      <c r="P31" s="71"/>
      <c r="Q31" s="71"/>
      <c r="R31" s="71"/>
      <c r="S31" s="71"/>
      <c r="T31" s="71"/>
    </row>
    <row r="32" spans="1:20" ht="25.15" customHeight="1" x14ac:dyDescent="0.25">
      <c r="B32" s="142">
        <v>2</v>
      </c>
      <c r="C32" s="177" t="str">
        <f t="shared" ref="C32:C37" si="0">E21</f>
        <v>PROPOSAL 2</v>
      </c>
      <c r="D32" s="177"/>
      <c r="E32" s="141">
        <f>'Detail 2'!$J$17/12</f>
        <v>66.203437528138025</v>
      </c>
      <c r="F32" s="141">
        <f>'Detail 2'!$J$22/12</f>
        <v>77.612574990167531</v>
      </c>
      <c r="G32" s="141">
        <f>'Detail 2'!$J$27/12</f>
        <v>91.291681167405912</v>
      </c>
      <c r="H32" s="141">
        <f>'Detail 2'!$J$32/12</f>
        <v>107.63894499232278</v>
      </c>
      <c r="I32" s="141">
        <f>'Detail 2'!$J$37/12</f>
        <v>127.11982993273021</v>
      </c>
      <c r="J32" s="70"/>
      <c r="K32" s="64"/>
      <c r="L32" s="64"/>
      <c r="M32" s="73"/>
      <c r="N32" s="73"/>
      <c r="O32" s="73"/>
      <c r="P32" s="71"/>
      <c r="Q32" s="71"/>
      <c r="R32" s="71"/>
      <c r="S32" s="71"/>
      <c r="T32" s="71"/>
    </row>
    <row r="33" spans="2:20" ht="25.15" customHeight="1" x14ac:dyDescent="0.25">
      <c r="B33" s="142">
        <v>3</v>
      </c>
      <c r="C33" s="177" t="str">
        <f t="shared" si="0"/>
        <v>PROPOSAL 3</v>
      </c>
      <c r="D33" s="177"/>
      <c r="E33" s="141">
        <f>'Detail 3'!$J$17/12</f>
        <v>45.271389296528014</v>
      </c>
      <c r="F33" s="141">
        <f>'Detail 3'!$J$22/12</f>
        <v>66.072340038529205</v>
      </c>
      <c r="G33" s="141">
        <f>'Detail 3'!$J$27/12</f>
        <v>89.828382428050404</v>
      </c>
      <c r="H33" s="141">
        <f>'Detail 3'!$J$32/12</f>
        <v>117.0156298139628</v>
      </c>
      <c r="I33" s="141">
        <f>'Detail 3'!$J$37/12</f>
        <v>148.18535258147145</v>
      </c>
      <c r="J33" s="70"/>
      <c r="K33" s="64"/>
      <c r="L33" s="64"/>
      <c r="M33" s="73"/>
      <c r="N33" s="73"/>
      <c r="O33" s="73"/>
      <c r="P33" s="71"/>
      <c r="Q33" s="71"/>
      <c r="R33" s="71"/>
      <c r="S33" s="71"/>
      <c r="T33" s="71"/>
    </row>
    <row r="34" spans="2:20" ht="25.15" customHeight="1" x14ac:dyDescent="0.25">
      <c r="B34" s="142">
        <v>4</v>
      </c>
      <c r="C34" s="177" t="str">
        <f t="shared" si="0"/>
        <v>PROPOSAL 4</v>
      </c>
      <c r="D34" s="177"/>
      <c r="E34" s="141">
        <f>'Detail 4'!$K$18/12</f>
        <v>7.8411960049999907</v>
      </c>
      <c r="F34" s="141">
        <f>'Detail 4'!$K$23/12</f>
        <v>7.6471166268604902</v>
      </c>
      <c r="G34" s="141">
        <f>'Detail 4'!$K$28/12</f>
        <v>7.4578409553232445</v>
      </c>
      <c r="H34" s="141">
        <f>'Detail 4'!$K$33/12</f>
        <v>7.273250092660267</v>
      </c>
      <c r="I34" s="141">
        <f>'Detail 4'!$K$38/12</f>
        <v>7.0932280840104722</v>
      </c>
      <c r="J34" s="70"/>
      <c r="K34" s="64"/>
      <c r="L34" s="64"/>
      <c r="M34" s="73"/>
      <c r="N34" s="73"/>
      <c r="O34" s="73"/>
      <c r="P34" s="71"/>
      <c r="Q34" s="71"/>
      <c r="R34" s="71"/>
      <c r="S34" s="71"/>
      <c r="T34" s="71"/>
    </row>
    <row r="35" spans="2:20" ht="25.15" customHeight="1" x14ac:dyDescent="0.25">
      <c r="B35" s="142">
        <v>5</v>
      </c>
      <c r="C35" s="177" t="str">
        <f t="shared" si="0"/>
        <v>PROPOSAL 5</v>
      </c>
      <c r="D35" s="177"/>
      <c r="E35" s="141">
        <f>'Detail 5'!$K$18/12</f>
        <v>6.2729568040000077</v>
      </c>
      <c r="F35" s="141">
        <f>'Detail 5'!$K$23/12</f>
        <v>6.1176933014883916</v>
      </c>
      <c r="G35" s="141">
        <f>'Detail 5'!$K$28/12</f>
        <v>5.9662727642585951</v>
      </c>
      <c r="H35" s="141">
        <f>'Detail 5'!$K$33/12</f>
        <v>5.8186000741281987</v>
      </c>
      <c r="I35" s="141">
        <f>'Detail 5'!$K$38/12</f>
        <v>5.6745824672083627</v>
      </c>
      <c r="J35" s="70"/>
      <c r="K35" s="64"/>
      <c r="L35" s="64"/>
      <c r="M35" s="73"/>
      <c r="N35" s="73"/>
      <c r="O35" s="73"/>
      <c r="P35" s="71"/>
      <c r="Q35" s="71"/>
      <c r="R35" s="71"/>
      <c r="S35" s="71"/>
      <c r="T35" s="71"/>
    </row>
    <row r="36" spans="2:20" ht="25.15" customHeight="1" x14ac:dyDescent="0.25">
      <c r="B36" s="142">
        <v>6</v>
      </c>
      <c r="C36" s="177" t="str">
        <f t="shared" si="0"/>
        <v>PROPOSAL 6</v>
      </c>
      <c r="D36" s="177"/>
      <c r="E36" s="141">
        <f>'Detail 6'!$K$18/12</f>
        <v>13.544514335402786</v>
      </c>
      <c r="F36" s="141">
        <f>'Detail 6'!$K$23/12</f>
        <v>15.401418124742483</v>
      </c>
      <c r="G36" s="141">
        <f>'Detail 6'!$K$28/12</f>
        <v>17.559355341426777</v>
      </c>
      <c r="H36" s="141">
        <f>'Detail 6'!$K$33/12</f>
        <v>20.06580058795555</v>
      </c>
      <c r="I36" s="141">
        <f>'Detail 6'!$K$38/12</f>
        <v>22.97574755475917</v>
      </c>
      <c r="J36" s="70"/>
      <c r="K36" s="64"/>
      <c r="L36" s="64"/>
      <c r="M36" s="73"/>
      <c r="N36" s="73"/>
      <c r="O36" s="73"/>
      <c r="P36" s="71"/>
      <c r="Q36" s="71"/>
      <c r="R36" s="71"/>
      <c r="S36" s="71"/>
      <c r="T36" s="71"/>
    </row>
    <row r="37" spans="2:20" ht="25.15" customHeight="1" x14ac:dyDescent="0.25">
      <c r="B37" s="142">
        <v>7</v>
      </c>
      <c r="C37" s="177" t="str">
        <f t="shared" si="0"/>
        <v>PROPOSAL 7</v>
      </c>
      <c r="D37" s="177"/>
      <c r="E37" s="141">
        <f>'Detail 7'!$K$18/12</f>
        <v>10.835611468322213</v>
      </c>
      <c r="F37" s="141">
        <f>'Detail 7'!$K$23/12</f>
        <v>12.32113449979397</v>
      </c>
      <c r="G37" s="141">
        <f>'Detail 7'!$K$28/12</f>
        <v>14.047484273141398</v>
      </c>
      <c r="H37" s="141">
        <f>'Detail 7'!$K$33/12</f>
        <v>16.052640470364469</v>
      </c>
      <c r="I37" s="141">
        <f>'Detail 7'!$K$38/12</f>
        <v>18.380598043807328</v>
      </c>
      <c r="J37" s="70"/>
      <c r="K37" s="64"/>
      <c r="L37" s="64"/>
      <c r="M37" s="73"/>
      <c r="N37" s="73"/>
      <c r="O37" s="73"/>
      <c r="P37" s="71"/>
      <c r="Q37" s="71"/>
      <c r="R37" s="71"/>
      <c r="S37" s="71"/>
      <c r="T37" s="71"/>
    </row>
    <row r="38" spans="2:20" s="62" customFormat="1" ht="30.6" customHeight="1" x14ac:dyDescent="0.25">
      <c r="B38" s="175" t="s">
        <v>27</v>
      </c>
      <c r="C38" s="176"/>
      <c r="D38" s="176"/>
      <c r="E38" s="176"/>
      <c r="F38" s="176"/>
      <c r="G38" s="176"/>
      <c r="H38" s="176"/>
      <c r="I38" s="176"/>
      <c r="J38" s="70"/>
      <c r="K38" s="64"/>
      <c r="L38" s="64"/>
      <c r="M38" s="64"/>
      <c r="N38" s="64"/>
      <c r="O38" s="64"/>
    </row>
    <row r="39" spans="2:20" s="62" customFormat="1" ht="39" customHeight="1" x14ac:dyDescent="0.25">
      <c r="B39" s="150"/>
      <c r="C39" s="151"/>
      <c r="D39" s="151"/>
      <c r="E39" s="152"/>
      <c r="F39" s="152"/>
      <c r="G39" s="152"/>
      <c r="H39" s="152"/>
      <c r="I39" s="152"/>
      <c r="J39" s="70"/>
      <c r="K39" s="64"/>
      <c r="L39" s="64"/>
      <c r="M39" s="64"/>
      <c r="N39" s="64"/>
      <c r="O39" s="64"/>
    </row>
    <row r="40" spans="2:20" ht="21.6" customHeight="1" x14ac:dyDescent="0.25">
      <c r="B40" s="178" t="s">
        <v>143</v>
      </c>
      <c r="C40" s="179"/>
      <c r="D40" s="179"/>
      <c r="E40" s="179"/>
      <c r="F40" s="179"/>
      <c r="G40" s="179"/>
      <c r="H40" s="179"/>
      <c r="I40" s="180"/>
      <c r="J40" s="70"/>
      <c r="K40" s="64"/>
      <c r="L40" s="64"/>
      <c r="M40" s="73"/>
      <c r="N40" s="73"/>
      <c r="O40" s="73"/>
      <c r="P40" s="71"/>
      <c r="Q40" s="71"/>
      <c r="R40" s="71"/>
      <c r="S40" s="71"/>
      <c r="T40" s="71"/>
    </row>
    <row r="41" spans="2:20" ht="55.9" customHeight="1" x14ac:dyDescent="0.25">
      <c r="B41" s="181" t="s">
        <v>28</v>
      </c>
      <c r="C41" s="182"/>
      <c r="D41" s="182"/>
      <c r="E41" s="182"/>
      <c r="F41" s="182"/>
      <c r="G41" s="182"/>
      <c r="H41" s="182"/>
      <c r="I41" s="183"/>
      <c r="J41" s="70"/>
      <c r="K41" s="64"/>
      <c r="L41" s="64"/>
      <c r="M41" s="73"/>
      <c r="N41" s="73"/>
      <c r="O41" s="73"/>
      <c r="P41" s="71"/>
      <c r="Q41" s="71"/>
      <c r="R41" s="71"/>
      <c r="S41" s="71"/>
      <c r="T41" s="71"/>
    </row>
    <row r="42" spans="2:20" ht="39" customHeight="1" x14ac:dyDescent="0.25">
      <c r="B42" s="145" t="s">
        <v>21</v>
      </c>
      <c r="C42" s="184" t="s">
        <v>15</v>
      </c>
      <c r="D42" s="184"/>
      <c r="E42" s="144" t="s">
        <v>29</v>
      </c>
      <c r="F42" s="144" t="s">
        <v>30</v>
      </c>
      <c r="G42" s="144" t="s">
        <v>31</v>
      </c>
      <c r="H42" s="144" t="s">
        <v>32</v>
      </c>
      <c r="I42" s="144" t="s">
        <v>33</v>
      </c>
      <c r="J42" s="70"/>
      <c r="K42" s="64"/>
      <c r="L42" s="64"/>
      <c r="M42" s="73"/>
      <c r="N42" s="73"/>
      <c r="O42" s="73"/>
      <c r="P42" s="71"/>
      <c r="Q42" s="71"/>
      <c r="R42" s="71"/>
      <c r="S42" s="71"/>
      <c r="T42" s="71"/>
    </row>
    <row r="43" spans="2:20" ht="25.15" customHeight="1" x14ac:dyDescent="0.25">
      <c r="B43" s="142">
        <v>1</v>
      </c>
      <c r="C43" s="172" t="str">
        <f t="shared" ref="C43" si="1">E20</f>
        <v>PROPOSAL 1</v>
      </c>
      <c r="D43" s="173"/>
      <c r="E43" s="141">
        <f>'Detail 1'!$K$17</f>
        <v>2979.6369735473127</v>
      </c>
      <c r="F43" s="141">
        <f>'Detail 1'!$K$22</f>
        <v>7126.8025545934415</v>
      </c>
      <c r="G43" s="141">
        <f>'Detail 1'!$K$27</f>
        <v>12609.080391873256</v>
      </c>
      <c r="H43" s="141">
        <f>'Detail 1'!$K$32</f>
        <v>19621.007195790342</v>
      </c>
      <c r="I43" s="141">
        <f>'Detail 1'!$K$37</f>
        <v>28388.328575638381</v>
      </c>
      <c r="J43" s="70"/>
      <c r="K43" s="64"/>
      <c r="L43" s="64"/>
      <c r="M43" s="73"/>
      <c r="N43" s="73"/>
      <c r="O43" s="73"/>
      <c r="P43" s="71"/>
      <c r="Q43" s="71"/>
      <c r="R43" s="71"/>
      <c r="S43" s="71"/>
      <c r="T43" s="71"/>
    </row>
    <row r="44" spans="2:20" ht="25.15" customHeight="1" x14ac:dyDescent="0.25">
      <c r="B44" s="142">
        <v>2</v>
      </c>
      <c r="C44" s="172" t="str">
        <f t="shared" ref="C44:C49" si="2">E21</f>
        <v>PROPOSAL 2</v>
      </c>
      <c r="D44" s="173"/>
      <c r="E44" s="141">
        <f>'Detail 2'!$K$17</f>
        <v>3736.1723867181336</v>
      </c>
      <c r="F44" s="141">
        <f>'Detail 2'!$K$22</f>
        <v>8109.0759615454845</v>
      </c>
      <c r="G44" s="141">
        <f>'Detail 2'!$K$27</f>
        <v>13246.48172500747</v>
      </c>
      <c r="H44" s="141">
        <f>'Detail 2'!$K$32</f>
        <v>19298.623829936681</v>
      </c>
      <c r="I44" s="141">
        <f>'Detail 2'!$K$37</f>
        <v>26442.000376890624</v>
      </c>
      <c r="J44" s="70"/>
      <c r="K44" s="64"/>
      <c r="L44" s="64"/>
      <c r="M44" s="73"/>
      <c r="N44" s="73"/>
      <c r="O44" s="73"/>
      <c r="P44" s="71"/>
      <c r="Q44" s="71"/>
      <c r="R44" s="71"/>
      <c r="S44" s="71"/>
      <c r="T44" s="71"/>
    </row>
    <row r="45" spans="2:20" ht="25.15" customHeight="1" x14ac:dyDescent="0.25">
      <c r="B45" s="142">
        <v>3</v>
      </c>
      <c r="C45" s="172" t="str">
        <f t="shared" si="2"/>
        <v>PROPOSAL 3</v>
      </c>
      <c r="D45" s="173"/>
      <c r="E45" s="141">
        <f>'Detail 3'!$K$17</f>
        <v>2266.8010634573129</v>
      </c>
      <c r="F45" s="141">
        <f>'Detail 3'!$K$22</f>
        <v>5718.7743120076721</v>
      </c>
      <c r="G45" s="141">
        <f>'Detail 3'!$K$27</f>
        <v>10523.066693841101</v>
      </c>
      <c r="H45" s="141">
        <f>'Detail 3'!$K$32</f>
        <v>16873.789027699331</v>
      </c>
      <c r="I45" s="141">
        <f>'Detail 3'!$K$37</f>
        <v>24996.271572563863</v>
      </c>
      <c r="J45" s="70"/>
      <c r="K45" s="64"/>
      <c r="L45" s="64"/>
      <c r="M45" s="73"/>
      <c r="N45" s="73"/>
      <c r="O45" s="73"/>
      <c r="P45" s="71"/>
      <c r="Q45" s="71"/>
      <c r="R45" s="71"/>
      <c r="S45" s="71"/>
      <c r="T45" s="71"/>
    </row>
    <row r="46" spans="2:20" ht="25.15" customHeight="1" x14ac:dyDescent="0.25">
      <c r="B46" s="142">
        <v>4</v>
      </c>
      <c r="C46" s="172" t="str">
        <f t="shared" si="2"/>
        <v>PROPOSAL 4</v>
      </c>
      <c r="D46" s="173"/>
      <c r="E46" s="141">
        <f>'Detail 4'!$L$18</f>
        <v>475.22394006000013</v>
      </c>
      <c r="F46" s="141">
        <f>'Detail 4'!$L$23</f>
        <v>938.68549505717988</v>
      </c>
      <c r="G46" s="141">
        <f>'Detail 4'!$L$28</f>
        <v>1390.675798688105</v>
      </c>
      <c r="H46" s="141">
        <f>'Detail 4'!$L$33</f>
        <v>1831.4787787273428</v>
      </c>
      <c r="I46" s="141">
        <f>'Detail 4'!$L$38</f>
        <v>2261.3713353830158</v>
      </c>
      <c r="J46" s="70"/>
      <c r="K46" s="64"/>
      <c r="L46" s="64"/>
      <c r="M46" s="73"/>
      <c r="N46" s="73"/>
      <c r="O46" s="73"/>
      <c r="P46" s="71"/>
      <c r="Q46" s="71"/>
      <c r="R46" s="71"/>
      <c r="S46" s="71"/>
      <c r="T46" s="71"/>
    </row>
    <row r="47" spans="2:20" ht="25.15" customHeight="1" x14ac:dyDescent="0.25">
      <c r="B47" s="142">
        <v>5</v>
      </c>
      <c r="C47" s="172" t="str">
        <f t="shared" si="2"/>
        <v>PROPOSAL 5</v>
      </c>
      <c r="D47" s="173"/>
      <c r="E47" s="141">
        <f>'Detail 5'!$L$18</f>
        <v>380.17915204800033</v>
      </c>
      <c r="F47" s="141">
        <f>'Detail 5'!$L$23</f>
        <v>750.9483960457444</v>
      </c>
      <c r="G47" s="141">
        <f>'Detail 5'!$L$28</f>
        <v>1112.5406389504847</v>
      </c>
      <c r="H47" s="141">
        <f>'Detail 5'!$L$33</f>
        <v>1465.1830229818743</v>
      </c>
      <c r="I47" s="141">
        <f>'Detail 5'!$L$38</f>
        <v>1809.0970683064124</v>
      </c>
      <c r="J47" s="70"/>
      <c r="K47" s="64"/>
      <c r="L47" s="64"/>
      <c r="M47" s="73"/>
      <c r="N47" s="73"/>
      <c r="O47" s="73"/>
      <c r="P47" s="71"/>
      <c r="Q47" s="71"/>
      <c r="R47" s="71"/>
      <c r="S47" s="71"/>
      <c r="T47" s="71"/>
    </row>
    <row r="48" spans="2:20" ht="25.15" customHeight="1" x14ac:dyDescent="0.25">
      <c r="B48" s="142">
        <v>6</v>
      </c>
      <c r="C48" s="172" t="str">
        <f t="shared" si="2"/>
        <v>PROPOSAL 6</v>
      </c>
      <c r="D48" s="173"/>
      <c r="E48" s="141">
        <f>'Detail 6'!$L$18</f>
        <v>773.18763741473094</v>
      </c>
      <c r="F48" s="141">
        <f>'Detail 6'!$L$23</f>
        <v>1651.3657505165233</v>
      </c>
      <c r="G48" s="141">
        <f>'Detail 6'!$L$28</f>
        <v>2651.5838378754297</v>
      </c>
      <c r="H48" s="141">
        <f>'Detail 6'!$L$33</f>
        <v>3793.5794983063756</v>
      </c>
      <c r="I48" s="141">
        <f>'Detail 6'!$L$38</f>
        <v>5100.2041929468523</v>
      </c>
      <c r="J48" s="70"/>
      <c r="K48" s="64"/>
      <c r="L48" s="64"/>
      <c r="M48" s="73"/>
      <c r="N48" s="73"/>
      <c r="O48" s="73"/>
      <c r="P48" s="71"/>
      <c r="Q48" s="71"/>
      <c r="R48" s="71"/>
      <c r="S48" s="71"/>
      <c r="T48" s="71"/>
    </row>
    <row r="49" spans="2:20" ht="25.15" customHeight="1" x14ac:dyDescent="0.25">
      <c r="B49" s="142">
        <v>7</v>
      </c>
      <c r="C49" s="172" t="str">
        <f t="shared" si="2"/>
        <v>PROPOSAL 7</v>
      </c>
      <c r="D49" s="173"/>
      <c r="E49" s="141">
        <f>'Detail 7'!$L$18</f>
        <v>618.55010993178416</v>
      </c>
      <c r="F49" s="141">
        <f>'Detail 7'!$L$23</f>
        <v>1321.0926004132177</v>
      </c>
      <c r="G49" s="141">
        <f>'Detail 7'!$L$28</f>
        <v>2121.2670703003423</v>
      </c>
      <c r="H49" s="141">
        <f>'Detail 7'!$L$33</f>
        <v>3034.863598645099</v>
      </c>
      <c r="I49" s="141">
        <f>'Detail 7'!$L$38</f>
        <v>4080.1633543574794</v>
      </c>
      <c r="J49" s="70"/>
      <c r="K49" s="64"/>
      <c r="L49" s="64"/>
      <c r="M49" s="73"/>
      <c r="N49" s="73"/>
      <c r="O49" s="73"/>
      <c r="P49" s="71"/>
      <c r="Q49" s="71"/>
      <c r="R49" s="71"/>
      <c r="S49" s="71"/>
      <c r="T49" s="71"/>
    </row>
    <row r="50" spans="2:20" ht="36.6" customHeight="1" x14ac:dyDescent="0.25">
      <c r="B50" s="199" t="s">
        <v>27</v>
      </c>
      <c r="C50" s="200"/>
      <c r="D50" s="200"/>
      <c r="E50" s="200"/>
      <c r="F50" s="200"/>
      <c r="G50" s="200"/>
      <c r="H50" s="200"/>
      <c r="I50" s="200"/>
      <c r="J50" s="70"/>
      <c r="K50" s="64"/>
      <c r="L50" s="64"/>
      <c r="M50" s="73"/>
      <c r="N50" s="73"/>
      <c r="O50" s="73"/>
      <c r="P50" s="71"/>
      <c r="Q50" s="71"/>
      <c r="R50" s="71"/>
      <c r="S50" s="71"/>
      <c r="T50" s="71"/>
    </row>
    <row r="51" spans="2:20" s="64" customFormat="1" ht="23.45" customHeight="1" x14ac:dyDescent="0.25">
      <c r="B51" s="93"/>
      <c r="C51" s="93"/>
      <c r="D51" s="93"/>
    </row>
    <row r="52" spans="2:20" ht="15.6" customHeight="1" x14ac:dyDescent="0.25">
      <c r="B52" s="196" t="s">
        <v>34</v>
      </c>
      <c r="C52" s="197"/>
      <c r="D52" s="197"/>
      <c r="E52" s="197"/>
      <c r="F52" s="197"/>
      <c r="G52" s="197"/>
      <c r="H52" s="197"/>
      <c r="I52" s="197"/>
      <c r="J52" s="72"/>
      <c r="K52" s="62"/>
      <c r="L52" s="62"/>
    </row>
    <row r="53" spans="2:20" x14ac:dyDescent="0.25">
      <c r="K53" s="62"/>
      <c r="L53" s="62"/>
    </row>
    <row r="54" spans="2:20" x14ac:dyDescent="0.25">
      <c r="K54" s="62"/>
      <c r="L54" s="62"/>
    </row>
    <row r="55" spans="2:20" x14ac:dyDescent="0.25">
      <c r="K55" s="62"/>
      <c r="L55" s="62"/>
    </row>
    <row r="56" spans="2:20" x14ac:dyDescent="0.25">
      <c r="K56" s="62"/>
      <c r="L56" s="62"/>
    </row>
    <row r="57" spans="2:20" x14ac:dyDescent="0.25">
      <c r="K57" s="62"/>
      <c r="L57" s="62"/>
    </row>
    <row r="58" spans="2:20" x14ac:dyDescent="0.25">
      <c r="K58" s="62"/>
      <c r="L58" s="62"/>
    </row>
    <row r="59" spans="2:20" x14ac:dyDescent="0.25">
      <c r="K59" s="62"/>
      <c r="L59" s="62"/>
    </row>
    <row r="60" spans="2:20" x14ac:dyDescent="0.25">
      <c r="K60" s="62"/>
      <c r="L60" s="62"/>
    </row>
    <row r="61" spans="2:20" x14ac:dyDescent="0.25">
      <c r="K61" s="62"/>
      <c r="L61" s="62"/>
    </row>
    <row r="62" spans="2:20" x14ac:dyDescent="0.25">
      <c r="K62" s="62"/>
      <c r="L62" s="62"/>
    </row>
    <row r="63" spans="2:20" x14ac:dyDescent="0.25">
      <c r="K63" s="62" t="s">
        <v>125</v>
      </c>
      <c r="L63" s="62"/>
    </row>
    <row r="64" spans="2:20" x14ac:dyDescent="0.25">
      <c r="K64" s="62"/>
      <c r="L64" s="62"/>
    </row>
    <row r="65" spans="2:12" x14ac:dyDescent="0.25">
      <c r="K65" s="62"/>
      <c r="L65" s="62"/>
    </row>
    <row r="66" spans="2:12" x14ac:dyDescent="0.25">
      <c r="K66" s="62"/>
      <c r="L66" s="62"/>
    </row>
    <row r="67" spans="2:12" x14ac:dyDescent="0.25">
      <c r="K67" s="62"/>
      <c r="L67" s="62"/>
    </row>
    <row r="68" spans="2:12" x14ac:dyDescent="0.25">
      <c r="K68" s="62"/>
      <c r="L68" s="62"/>
    </row>
    <row r="69" spans="2:12" x14ac:dyDescent="0.25">
      <c r="K69" s="62"/>
      <c r="L69" s="62"/>
    </row>
    <row r="70" spans="2:12" x14ac:dyDescent="0.25">
      <c r="B70" s="62"/>
      <c r="C70" s="62"/>
      <c r="D70" s="62"/>
      <c r="E70" s="62"/>
      <c r="F70" s="62"/>
      <c r="G70" s="62"/>
      <c r="H70" s="62"/>
      <c r="I70" s="62"/>
      <c r="K70" s="62"/>
      <c r="L70" s="62"/>
    </row>
    <row r="71" spans="2:12" ht="338.45" customHeight="1" x14ac:dyDescent="0.25">
      <c r="B71" s="62"/>
      <c r="C71" s="62"/>
      <c r="D71" s="62"/>
      <c r="E71" s="62"/>
      <c r="F71" s="62"/>
      <c r="G71" s="62"/>
      <c r="H71" s="62"/>
      <c r="I71" s="62"/>
      <c r="K71" s="62"/>
      <c r="L71" s="62"/>
    </row>
    <row r="72" spans="2:12" x14ac:dyDescent="0.25">
      <c r="B72" s="71"/>
      <c r="C72" s="71"/>
      <c r="D72" s="71"/>
      <c r="E72" s="71"/>
      <c r="F72" s="71"/>
      <c r="G72" s="71"/>
      <c r="H72" s="71"/>
      <c r="I72" s="71"/>
      <c r="K72" s="71"/>
      <c r="L72" s="71"/>
    </row>
    <row r="73" spans="2:12" x14ac:dyDescent="0.25">
      <c r="B73" s="71"/>
      <c r="C73" s="71"/>
      <c r="D73" s="71"/>
      <c r="E73" s="71"/>
      <c r="F73" s="71"/>
      <c r="G73" s="71"/>
      <c r="H73" s="71"/>
      <c r="I73" s="71"/>
      <c r="K73" s="71"/>
      <c r="L73" s="71"/>
    </row>
    <row r="74" spans="2:12" x14ac:dyDescent="0.25">
      <c r="B74" s="71"/>
      <c r="C74" s="71"/>
      <c r="D74" s="71"/>
      <c r="E74" s="71"/>
      <c r="F74" s="71"/>
      <c r="G74" s="71"/>
      <c r="H74" s="71"/>
      <c r="I74" s="71"/>
      <c r="K74" s="71"/>
      <c r="L74" s="71"/>
    </row>
    <row r="75" spans="2:12" x14ac:dyDescent="0.25">
      <c r="B75" s="71"/>
      <c r="C75" s="71"/>
      <c r="D75" s="71"/>
      <c r="E75" s="71"/>
      <c r="F75" s="71"/>
      <c r="G75" s="71"/>
      <c r="H75" s="71"/>
      <c r="I75" s="71"/>
      <c r="K75" s="71"/>
      <c r="L75" s="71"/>
    </row>
    <row r="76" spans="2:12" x14ac:dyDescent="0.25">
      <c r="B76" s="71"/>
      <c r="C76" s="71"/>
      <c r="D76" s="71"/>
      <c r="E76" s="71"/>
      <c r="F76" s="71"/>
      <c r="G76" s="71"/>
      <c r="H76" s="71"/>
      <c r="I76" s="71"/>
      <c r="K76" s="71"/>
      <c r="L76" s="71"/>
    </row>
  </sheetData>
  <mergeCells count="41">
    <mergeCell ref="B52:I52"/>
    <mergeCell ref="B28:I28"/>
    <mergeCell ref="B29:I29"/>
    <mergeCell ref="B50:I50"/>
    <mergeCell ref="B2:I2"/>
    <mergeCell ref="B3:I3"/>
    <mergeCell ref="B4:I4"/>
    <mergeCell ref="B6:G6"/>
    <mergeCell ref="B13:I13"/>
    <mergeCell ref="C7:G7"/>
    <mergeCell ref="C8:G8"/>
    <mergeCell ref="C33:D33"/>
    <mergeCell ref="C34:D34"/>
    <mergeCell ref="C35:D35"/>
    <mergeCell ref="C9:G9"/>
    <mergeCell ref="C10:G10"/>
    <mergeCell ref="B19:C19"/>
    <mergeCell ref="C30:D30"/>
    <mergeCell ref="B20:C22"/>
    <mergeCell ref="B23:C24"/>
    <mergeCell ref="B25:C26"/>
    <mergeCell ref="B15:G15"/>
    <mergeCell ref="B16:G16"/>
    <mergeCell ref="B18:I18"/>
    <mergeCell ref="B14:G14"/>
    <mergeCell ref="C48:D48"/>
    <mergeCell ref="C49:D49"/>
    <mergeCell ref="C11:G11"/>
    <mergeCell ref="B38:I38"/>
    <mergeCell ref="C43:D43"/>
    <mergeCell ref="C44:D44"/>
    <mergeCell ref="C45:D45"/>
    <mergeCell ref="C46:D46"/>
    <mergeCell ref="C47:D47"/>
    <mergeCell ref="C36:D36"/>
    <mergeCell ref="C37:D37"/>
    <mergeCell ref="B40:I40"/>
    <mergeCell ref="B41:I41"/>
    <mergeCell ref="C42:D42"/>
    <mergeCell ref="C31:D31"/>
    <mergeCell ref="C32:D32"/>
  </mergeCells>
  <dataValidations xWindow="1046" yWindow="392" count="26">
    <dataValidation allowBlank="1" showInputMessage="1" showErrorMessage="1" promptTitle="Hint" prompt="This is your chance to project potential rates of escalation of electricity prices for the next 25 years." sqref="C10"/>
    <dataValidation allowBlank="1" showInputMessage="1" showErrorMessage="1" promptTitle="Hint" prompt="This is the rate for REC and is based on the size of the CSG. If you're not sure, leave at $0.020" sqref="D17:G17 D12:G12 C9"/>
    <dataValidation allowBlank="1" showInputMessage="1" showErrorMessage="1" promptTitle="Hint" prompt="The average MN household uses 9600 kWh/year. Change this to match your usage. Use energy bills or login to your account to find numbers. For a simpler estimate, adjust this by 2400kWh. If you use less than average try 7200kWh; more try 12000kWh." sqref="C7"/>
    <dataValidation allowBlank="1" showInputMessage="1" showErrorMessage="1" promptTitle="Hint" prompt="This is the payment you get from Xcel for the solar your share of the CSG produces. It is the same as your current electric rate and can be found on your energy bill. This tool assumes you will be paid back the same amount per kWh that you pay." sqref="C8"/>
    <dataValidation type="whole" operator="greaterThan" allowBlank="1" showInputMessage="1" showErrorMessage="1" promptTitle="Editable" prompt="You can change this to adjust the size of your desired CSG subscription." sqref="H7">
      <formula1>1</formula1>
    </dataValidation>
    <dataValidation allowBlank="1" showInputMessage="1" showErrorMessage="1" promptTitle="Editable" prompt="This is your chance to project potential rates of escalation of electricity prices for the next 25 years." sqref="H10"/>
    <dataValidation type="list" operator="greaterThan" showInputMessage="1" showErrorMessage="1" promptTitle="Choose size" prompt="You can pick the panel size being used in the garden. If you don't know, ask the developer." sqref="H15">
      <formula1>size</formula1>
    </dataValidation>
    <dataValidation allowBlank="1" showInputMessage="1" showErrorMessage="1" promptTitle="Not Editable" prompt="This is based on the yearly kWh you indicated above." sqref="H14"/>
    <dataValidation allowBlank="1" showInputMessage="1" showErrorMessage="1" promptTitle="Not Editable" prompt="This is how many panels your subscription would be based on the subscription size in kW and panel size." sqref="H16"/>
    <dataValidation allowBlank="1" showInputMessage="1" showErrorMessage="1" promptTitle="Proposal Name" prompt="Please enter a unique name to identify this proposal choice. This name will show up in the results below." sqref="E20:E26"/>
    <dataValidation allowBlank="1" showInputMessage="1" showErrorMessage="1" promptTitle="% Discount" prompt="In this payment structure, monthly savings resulting from your subscription are somewhat predictable, while monthly payments are variable. These proposals offer a payment rate that is X% less than the bill credit rate." sqref="B25:C26"/>
    <dataValidation allowBlank="1" showInputMessage="1" showErrorMessage="1" promptTitle="Not Applicable" prompt="This information is not applicable to this Payment Structure" sqref="H20:I22 G23:G26"/>
    <dataValidation allowBlank="1" showInputMessage="1" showErrorMessage="1" promptTitle="Not Editable" prompt="This is calculated automatically based on the Discount Rate and Payment Floor entered in this row (Columns H and I)" sqref="F23:F26"/>
    <dataValidation allowBlank="1" showInputMessage="1" showErrorMessage="1" promptTitle="Starting Rate" prompt="This is what you'll pay to the developer per every kWh produced by your portion(s) of the solar garden(s) to which you're subscribed." sqref="F20:F22"/>
    <dataValidation allowBlank="1" showErrorMessage="1" promptTitle="Escalator" prompt="This is how much your payment rate to the solar garden developer in Column F will increase each year." sqref="G19"/>
    <dataValidation allowBlank="1" showInputMessage="1" showErrorMessage="1" promptTitle="Not Editable" prompt="This is the name you entered for this proposal in the &quot;Proposals for Comparison&quot; table above." sqref="C31:D37"/>
    <dataValidation allowBlank="1" showErrorMessage="1" promptTitle="Starting Rate" prompt="This is what you'll pay to the developer per every kWh produced by your portion(s) of the solar garden(s) to which you're subscribed." sqref="F19"/>
    <dataValidation allowBlank="1" showInputMessage="1" showErrorMessage="1" promptTitle="Escalator" prompt="This is how much your payment rate to the solar garden developer in Column F will increase each year." sqref="G20:G22"/>
    <dataValidation allowBlank="1" showInputMessage="1" showErrorMessage="1" promptTitle="Discount Rate ($)" prompt="This amount is subtracted from your applicable bill credit rate, including RECs (cells H8 and H9), to determine your payment rate to the solar garden developer (column F in this table)" sqref="H23:H24"/>
    <dataValidation allowBlank="1" showInputMessage="1" showErrorMessage="1" promptTitle="Discount Rate (%)" prompt="This percantage diascount is applied to your applicable bill credit rate, including RECs (cells H8 and H9), to determine your payment rate to the solar garden developer (column F in this table)" sqref="H25:H26"/>
    <dataValidation allowBlank="1" showInputMessage="1" showErrorMessage="1" promptTitle="Hint" prompt="This feature is more important for instiutional subscribers like local governments. The discount rate helps determine the present value of future cash flows. If you don't know what rate to use, ask your entity's financial leader." sqref="C11:G11"/>
    <dataValidation allowBlank="1" showInputMessage="1" showErrorMessage="1" promptTitle="Editable" prompt="If you want to apply a discount rate to the savings projections below, enter it here. Otherwise leave this at 0% for simple savings." sqref="H11"/>
    <dataValidation allowBlank="1" showInputMessage="1" showErrorMessage="1" promptTitle="Flat/Escalated" prompt="In this payment structure, monthly payments to the solar garden developer are predictable, while monthly savings are variable. These proposals have a starting rate ($/kWh produced) than sometimes increases by a set amount each year." sqref="B20:C22"/>
    <dataValidation allowBlank="1" showInputMessage="1" showErrorMessage="1" promptTitle="$ Discount" prompt="In this payment structure, monthly savings resulting from your subscription are predictable, while monthly payments are variable. These proposals offer a payment rate that is $X less than the bill credit rate." sqref="B23:C24"/>
    <dataValidation allowBlank="1" showInputMessage="1" showErrorMessage="1" promptTitle="Rate Floor" prompt="Some proposals have a minimum subscription rate that comes into effect if the bill credit rate drops in value. Enter the floor here if your proposal has one, otherwise leave this at 0. (This is less common)" sqref="I23:I26"/>
    <dataValidation type="list" errorStyle="information" operator="equal" allowBlank="1" showInputMessage="1" showErrorMessage="1" errorTitle="NOTE" error="The value you have entered does not match one of the three 2017 ARR Bill Credit Rates" promptTitle="Choose rate" prompt="Choose the rate based on your customer class: $0.13310 residential; $0.12798 small commercial; $0.10296 large commercial" sqref="H8">
      <formula1>rates</formula1>
    </dataValidation>
  </dataValidations>
  <pageMargins left="0.2" right="0.2" top="0.25" bottom="0.25" header="0" footer="0"/>
  <pageSetup scale="90" orientation="portrait" r:id="rId1"/>
  <drawing r:id="rId2"/>
  <extLst>
    <ext xmlns:x14="http://schemas.microsoft.com/office/spreadsheetml/2009/9/main" uri="{CCE6A557-97BC-4b89-ADB6-D9C93CAAB3DF}">
      <x14:dataValidations xmlns:xm="http://schemas.microsoft.com/office/excel/2006/main" xWindow="1046" yWindow="392" count="1">
        <x14:dataValidation type="list" allowBlank="1" showInputMessage="1" showErrorMessage="1" promptTitle="Choose rate" prompt="Choose the REC for the size of CSG. $.02 for gardens greater than 250 kW or $.03 for gardens less than or equal to 250 kW. If you're not sure, leave at $.02.">
          <x14:formula1>
            <xm:f>Rates!$B$4:$B$6</xm:f>
          </x14:formula1>
          <xm:sqref>H9 H12 H17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6"/>
  <sheetViews>
    <sheetView workbookViewId="0">
      <selection activeCell="E13" sqref="E13"/>
    </sheetView>
  </sheetViews>
  <sheetFormatPr defaultRowHeight="15" x14ac:dyDescent="0.25"/>
  <cols>
    <col min="1" max="1" width="52" bestFit="1" customWidth="1"/>
    <col min="2" max="2" width="9.7109375" bestFit="1" customWidth="1"/>
  </cols>
  <sheetData>
    <row r="1" spans="1:7" x14ac:dyDescent="0.25">
      <c r="A1" s="225" t="s">
        <v>43</v>
      </c>
      <c r="B1" s="169">
        <v>0.1331</v>
      </c>
      <c r="C1" s="227" t="s">
        <v>44</v>
      </c>
      <c r="D1" s="227"/>
      <c r="E1" s="227"/>
      <c r="F1" s="227"/>
      <c r="G1" s="228"/>
    </row>
    <row r="2" spans="1:7" x14ac:dyDescent="0.25">
      <c r="A2" s="225"/>
      <c r="B2" s="170">
        <v>0.12798000000000001</v>
      </c>
      <c r="C2" s="229" t="s">
        <v>45</v>
      </c>
      <c r="D2" s="229"/>
      <c r="E2" s="229"/>
      <c r="F2" s="229"/>
      <c r="G2" s="230"/>
    </row>
    <row r="3" spans="1:7" ht="15.75" thickBot="1" x14ac:dyDescent="0.3">
      <c r="A3" s="226"/>
      <c r="B3" s="171">
        <v>0.10296</v>
      </c>
      <c r="C3" s="231" t="s">
        <v>46</v>
      </c>
      <c r="D3" s="231"/>
      <c r="E3" s="231"/>
      <c r="F3" s="231"/>
      <c r="G3" s="232"/>
    </row>
    <row r="4" spans="1:7" x14ac:dyDescent="0.25">
      <c r="A4" s="233" t="s">
        <v>47</v>
      </c>
      <c r="B4" s="91">
        <v>0</v>
      </c>
      <c r="C4" s="236" t="s">
        <v>48</v>
      </c>
      <c r="D4" s="236"/>
      <c r="E4" s="236"/>
      <c r="F4" s="236"/>
      <c r="G4" s="237"/>
    </row>
    <row r="5" spans="1:7" x14ac:dyDescent="0.25">
      <c r="A5" s="234"/>
      <c r="B5" s="74">
        <v>0.02</v>
      </c>
      <c r="C5" s="238" t="s">
        <v>49</v>
      </c>
      <c r="D5" s="238"/>
      <c r="E5" s="238"/>
      <c r="F5" s="238"/>
      <c r="G5" s="239"/>
    </row>
    <row r="6" spans="1:7" ht="15.75" thickBot="1" x14ac:dyDescent="0.3">
      <c r="A6" s="235"/>
      <c r="B6" s="75">
        <v>0.03</v>
      </c>
      <c r="C6" s="240" t="s">
        <v>50</v>
      </c>
      <c r="D6" s="240"/>
      <c r="E6" s="240"/>
      <c r="F6" s="240"/>
      <c r="G6" s="241"/>
    </row>
  </sheetData>
  <mergeCells count="8">
    <mergeCell ref="A1:A3"/>
    <mergeCell ref="C1:G1"/>
    <mergeCell ref="C2:G2"/>
    <mergeCell ref="C3:G3"/>
    <mergeCell ref="A4:A6"/>
    <mergeCell ref="C4:G4"/>
    <mergeCell ref="C5:G5"/>
    <mergeCell ref="C6:G6"/>
  </mergeCells>
  <hyperlinks>
    <hyperlink ref="A1:A3" r:id="rId1" display="* Starting Bill Credit rate ($/kWh) is determined by the billing rate listed on the bill for each premise (click here for a full list of eligible billing rate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4"/>
  <sheetViews>
    <sheetView workbookViewId="0">
      <selection activeCell="A2" sqref="A2:D2"/>
    </sheetView>
  </sheetViews>
  <sheetFormatPr defaultRowHeight="15" x14ac:dyDescent="0.25"/>
  <cols>
    <col min="1" max="1" width="47.7109375" bestFit="1" customWidth="1"/>
    <col min="2" max="2" width="11.140625" bestFit="1" customWidth="1"/>
    <col min="3" max="3" width="13.42578125" bestFit="1" customWidth="1"/>
    <col min="4" max="4" width="75.28515625" bestFit="1" customWidth="1"/>
  </cols>
  <sheetData>
    <row r="1" spans="1:5" x14ac:dyDescent="0.25">
      <c r="A1" s="78" t="s">
        <v>51</v>
      </c>
      <c r="B1" s="79" t="s">
        <v>52</v>
      </c>
      <c r="C1" s="79" t="s">
        <v>53</v>
      </c>
      <c r="D1" s="79" t="s">
        <v>54</v>
      </c>
      <c r="E1" s="106"/>
    </row>
    <row r="2" spans="1:5" x14ac:dyDescent="0.25">
      <c r="A2" s="80" t="s">
        <v>55</v>
      </c>
      <c r="B2" s="81">
        <f>'Xcel CSG Calculator'!H7/12</f>
        <v>800</v>
      </c>
      <c r="C2" s="80" t="s">
        <v>56</v>
      </c>
      <c r="D2" s="82"/>
      <c r="E2" s="106"/>
    </row>
    <row r="3" spans="1:5" x14ac:dyDescent="0.25">
      <c r="A3" s="80" t="s">
        <v>57</v>
      </c>
      <c r="B3" s="81">
        <f>B2*1000</f>
        <v>800000</v>
      </c>
      <c r="C3" s="80" t="s">
        <v>58</v>
      </c>
      <c r="D3" s="82"/>
      <c r="E3" s="106" t="s">
        <v>59</v>
      </c>
    </row>
    <row r="4" spans="1:5" x14ac:dyDescent="0.25">
      <c r="A4" s="80" t="s">
        <v>60</v>
      </c>
      <c r="B4" s="81">
        <f>B3/30</f>
        <v>26666.666666666668</v>
      </c>
      <c r="C4" s="80" t="s">
        <v>61</v>
      </c>
      <c r="D4" s="82"/>
      <c r="E4" s="106" t="s">
        <v>62</v>
      </c>
    </row>
    <row r="5" spans="1:5" x14ac:dyDescent="0.25">
      <c r="A5" s="80" t="s">
        <v>63</v>
      </c>
      <c r="B5" s="81">
        <f>B4/4.4</f>
        <v>6060.6060606060601</v>
      </c>
      <c r="C5" s="80" t="s">
        <v>64</v>
      </c>
      <c r="D5" s="82" t="s">
        <v>65</v>
      </c>
      <c r="E5" s="106" t="s">
        <v>66</v>
      </c>
    </row>
    <row r="6" spans="1:5" x14ac:dyDescent="0.25">
      <c r="A6" s="80" t="s">
        <v>67</v>
      </c>
      <c r="B6" s="81">
        <f>B5/0.77</f>
        <v>7870.9169618260521</v>
      </c>
      <c r="C6" s="80" t="s">
        <v>64</v>
      </c>
      <c r="D6" s="82" t="s">
        <v>68</v>
      </c>
      <c r="E6" s="106" t="s">
        <v>69</v>
      </c>
    </row>
    <row r="7" spans="1:5" x14ac:dyDescent="0.25">
      <c r="A7" s="83" t="s">
        <v>70</v>
      </c>
      <c r="B7" s="84">
        <f>B6/1000</f>
        <v>7.8709169618260519</v>
      </c>
      <c r="C7" s="83" t="s">
        <v>71</v>
      </c>
      <c r="D7" s="82"/>
      <c r="E7" s="106" t="s">
        <v>72</v>
      </c>
    </row>
    <row r="8" spans="1:5" x14ac:dyDescent="0.25">
      <c r="B8" s="155"/>
    </row>
    <row r="9" spans="1:5" x14ac:dyDescent="0.25">
      <c r="A9" s="85" t="s">
        <v>73</v>
      </c>
      <c r="B9" s="106"/>
      <c r="C9" s="106"/>
      <c r="D9" s="106"/>
      <c r="E9" s="106"/>
    </row>
    <row r="10" spans="1:5" x14ac:dyDescent="0.25">
      <c r="A10" s="106">
        <v>200</v>
      </c>
      <c r="B10" s="106"/>
      <c r="C10" s="106"/>
      <c r="D10" s="106"/>
      <c r="E10" s="106"/>
    </row>
    <row r="11" spans="1:5" x14ac:dyDescent="0.25">
      <c r="A11" s="106">
        <v>250</v>
      </c>
      <c r="B11" s="106"/>
      <c r="C11" s="106"/>
      <c r="D11" s="106"/>
      <c r="E11" s="106"/>
    </row>
    <row r="12" spans="1:5" x14ac:dyDescent="0.25">
      <c r="A12" s="106">
        <v>300</v>
      </c>
      <c r="B12" s="106"/>
      <c r="C12" s="106"/>
      <c r="D12" s="106"/>
      <c r="E12" s="106"/>
    </row>
    <row r="13" spans="1:5" x14ac:dyDescent="0.25">
      <c r="A13" s="106">
        <v>350</v>
      </c>
      <c r="B13" s="106"/>
      <c r="C13" s="106"/>
      <c r="D13" s="106"/>
      <c r="E13" s="106"/>
    </row>
    <row r="14" spans="1:5" x14ac:dyDescent="0.25">
      <c r="A14" s="106">
        <v>400</v>
      </c>
      <c r="B14" s="106"/>
      <c r="C14" s="106"/>
      <c r="D14" s="106"/>
      <c r="E14" s="10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workbookViewId="0">
      <selection activeCell="B1" sqref="B1"/>
    </sheetView>
  </sheetViews>
  <sheetFormatPr defaultRowHeight="15" x14ac:dyDescent="0.25"/>
  <cols>
    <col min="1" max="11" width="12.5703125" customWidth="1"/>
    <col min="12" max="28" width="8.85546875" style="168"/>
  </cols>
  <sheetData>
    <row r="1" spans="1:11" ht="21" x14ac:dyDescent="0.25">
      <c r="A1" s="94" t="s">
        <v>74</v>
      </c>
      <c r="B1" s="95" t="s">
        <v>130</v>
      </c>
      <c r="C1" s="96"/>
      <c r="D1" s="96"/>
      <c r="E1" s="96"/>
      <c r="F1" s="96"/>
      <c r="G1" s="96"/>
      <c r="H1" s="96"/>
      <c r="I1" s="96"/>
      <c r="J1" s="97"/>
      <c r="K1" s="128"/>
    </row>
    <row r="2" spans="1:11" x14ac:dyDescent="0.25">
      <c r="A2" s="210" t="s">
        <v>75</v>
      </c>
      <c r="B2" s="210"/>
      <c r="C2" s="210"/>
      <c r="D2" s="210"/>
      <c r="E2" s="211" t="s">
        <v>54</v>
      </c>
      <c r="F2" s="211"/>
      <c r="G2" s="211"/>
      <c r="H2" s="211"/>
      <c r="I2" s="211"/>
      <c r="J2" s="211"/>
      <c r="K2" s="129"/>
    </row>
    <row r="3" spans="1:11" ht="28.15" customHeight="1" x14ac:dyDescent="0.25">
      <c r="A3" s="212" t="s">
        <v>76</v>
      </c>
      <c r="B3" s="213"/>
      <c r="C3" s="214"/>
      <c r="D3" s="137">
        <f>'Xcel CSG Calculator'!H7</f>
        <v>9600</v>
      </c>
      <c r="E3" s="215"/>
      <c r="F3" s="215"/>
      <c r="G3" s="215"/>
      <c r="H3" s="215"/>
      <c r="I3" s="215"/>
      <c r="J3" s="215"/>
      <c r="K3" s="126"/>
    </row>
    <row r="4" spans="1:11" x14ac:dyDescent="0.25">
      <c r="A4" s="216" t="s">
        <v>77</v>
      </c>
      <c r="B4" s="216"/>
      <c r="C4" s="216"/>
      <c r="D4" s="132">
        <f>'Xcel CSG Calculator'!F20</f>
        <v>0.1</v>
      </c>
      <c r="E4" s="217" t="s">
        <v>78</v>
      </c>
      <c r="F4" s="217"/>
      <c r="G4" s="217"/>
      <c r="H4" s="217"/>
      <c r="I4" s="217"/>
      <c r="J4" s="217"/>
      <c r="K4" s="126"/>
    </row>
    <row r="5" spans="1:11" x14ac:dyDescent="0.25">
      <c r="A5" s="216" t="s">
        <v>79</v>
      </c>
      <c r="B5" s="216"/>
      <c r="C5" s="216"/>
      <c r="D5" s="136">
        <f>'Xcel CSG Calculator'!H8</f>
        <v>0.1331</v>
      </c>
      <c r="E5" s="217" t="s">
        <v>80</v>
      </c>
      <c r="F5" s="217"/>
      <c r="G5" s="217"/>
      <c r="H5" s="217"/>
      <c r="I5" s="217"/>
      <c r="J5" s="217"/>
      <c r="K5" s="126"/>
    </row>
    <row r="6" spans="1:11" x14ac:dyDescent="0.25">
      <c r="A6" s="216" t="s">
        <v>81</v>
      </c>
      <c r="B6" s="216"/>
      <c r="C6" s="216"/>
      <c r="D6" s="133">
        <f>'Xcel CSG Calculator'!H9</f>
        <v>0.02</v>
      </c>
      <c r="E6" s="217" t="s">
        <v>82</v>
      </c>
      <c r="F6" s="217"/>
      <c r="G6" s="217"/>
      <c r="H6" s="217"/>
      <c r="I6" s="217"/>
      <c r="J6" s="217"/>
      <c r="K6" s="126"/>
    </row>
    <row r="7" spans="1:11" x14ac:dyDescent="0.25">
      <c r="A7" s="216" t="s">
        <v>83</v>
      </c>
      <c r="B7" s="216"/>
      <c r="C7" s="216"/>
      <c r="D7" s="98">
        <f>'Xcel CSG Calculator'!G20</f>
        <v>0</v>
      </c>
      <c r="E7" s="217" t="s">
        <v>84</v>
      </c>
      <c r="F7" s="217"/>
      <c r="G7" s="217"/>
      <c r="H7" s="217"/>
      <c r="I7" s="217"/>
      <c r="J7" s="217"/>
      <c r="K7" s="126"/>
    </row>
    <row r="8" spans="1:11" x14ac:dyDescent="0.25">
      <c r="A8" s="216" t="s">
        <v>85</v>
      </c>
      <c r="B8" s="216"/>
      <c r="C8" s="216"/>
      <c r="D8" s="131">
        <v>5.0000000000000001E-3</v>
      </c>
      <c r="E8" s="217" t="s">
        <v>86</v>
      </c>
      <c r="F8" s="217"/>
      <c r="G8" s="217"/>
      <c r="H8" s="217"/>
      <c r="I8" s="217"/>
      <c r="J8" s="217"/>
      <c r="K8" s="126"/>
    </row>
    <row r="9" spans="1:11" x14ac:dyDescent="0.25">
      <c r="A9" s="216" t="s">
        <v>87</v>
      </c>
      <c r="B9" s="216"/>
      <c r="C9" s="216"/>
      <c r="D9" s="131">
        <f>'Xcel CSG Calculator'!H10</f>
        <v>3.5000000000000003E-2</v>
      </c>
      <c r="E9" s="217" t="s">
        <v>88</v>
      </c>
      <c r="F9" s="217"/>
      <c r="G9" s="217"/>
      <c r="H9" s="217"/>
      <c r="I9" s="217"/>
      <c r="J9" s="217"/>
      <c r="K9" s="126"/>
    </row>
    <row r="10" spans="1:11" x14ac:dyDescent="0.25">
      <c r="A10" s="216" t="s">
        <v>18</v>
      </c>
      <c r="B10" s="216"/>
      <c r="C10" s="216"/>
      <c r="D10" s="131">
        <f>'Xcel CSG Calculator'!H11</f>
        <v>0</v>
      </c>
      <c r="E10" s="217" t="s">
        <v>89</v>
      </c>
      <c r="F10" s="217"/>
      <c r="G10" s="217"/>
      <c r="H10" s="217"/>
      <c r="I10" s="217"/>
      <c r="J10" s="217"/>
      <c r="K10" s="126"/>
    </row>
    <row r="11" spans="1:11" x14ac:dyDescent="0.25">
      <c r="A11" s="124"/>
      <c r="B11" s="124"/>
      <c r="C11" s="124"/>
      <c r="D11" s="125"/>
      <c r="E11" s="125"/>
      <c r="F11" s="125"/>
      <c r="G11" s="125"/>
      <c r="H11" s="125"/>
      <c r="I11" s="125"/>
      <c r="J11" s="125"/>
      <c r="K11" s="126"/>
    </row>
    <row r="12" spans="1:11" ht="60" x14ac:dyDescent="0.25">
      <c r="A12" s="109" t="s">
        <v>90</v>
      </c>
      <c r="B12" s="109" t="s">
        <v>91</v>
      </c>
      <c r="C12" s="109" t="s">
        <v>92</v>
      </c>
      <c r="D12" s="116" t="s">
        <v>93</v>
      </c>
      <c r="E12" s="109" t="s">
        <v>94</v>
      </c>
      <c r="F12" s="109" t="s">
        <v>95</v>
      </c>
      <c r="G12" s="116" t="s">
        <v>96</v>
      </c>
      <c r="H12" s="109" t="s">
        <v>97</v>
      </c>
      <c r="I12" s="109" t="s">
        <v>98</v>
      </c>
      <c r="J12" s="116" t="s">
        <v>99</v>
      </c>
      <c r="K12" s="109" t="s">
        <v>100</v>
      </c>
    </row>
    <row r="13" spans="1:11" x14ac:dyDescent="0.25">
      <c r="A13" s="111">
        <v>1</v>
      </c>
      <c r="B13" s="112">
        <f>$D$3</f>
        <v>9600</v>
      </c>
      <c r="C13" s="114">
        <f>D4</f>
        <v>0.1</v>
      </c>
      <c r="D13" s="115">
        <f>B13*C13*-1</f>
        <v>-960</v>
      </c>
      <c r="E13" s="110">
        <f>D5</f>
        <v>0.1331</v>
      </c>
      <c r="F13" s="110">
        <f t="shared" ref="F13:F37" si="0">E13+$D$6</f>
        <v>0.15309999999999999</v>
      </c>
      <c r="G13" s="115">
        <f>B13*F13</f>
        <v>1469.7599999999998</v>
      </c>
      <c r="H13" s="113">
        <f>D13+G13</f>
        <v>509.75999999999976</v>
      </c>
      <c r="I13" s="113">
        <f>H13</f>
        <v>509.75999999999976</v>
      </c>
      <c r="J13" s="115">
        <f t="shared" ref="J13:J37" si="1">H13/(1+$D$10)^($A13-1)</f>
        <v>509.75999999999976</v>
      </c>
      <c r="K13" s="113">
        <f>J13</f>
        <v>509.75999999999976</v>
      </c>
    </row>
    <row r="14" spans="1:11" x14ac:dyDescent="0.25">
      <c r="A14" s="111">
        <v>2</v>
      </c>
      <c r="B14" s="112">
        <f t="shared" ref="B14:B37" si="2">B13*(1-$D$8)</f>
        <v>9552</v>
      </c>
      <c r="C14" s="114">
        <f t="shared" ref="C14:C37" si="3">C13*(1+$D$7)</f>
        <v>0.1</v>
      </c>
      <c r="D14" s="115">
        <f t="shared" ref="D14:D37" si="4">B14*C14*-1</f>
        <v>-955.2</v>
      </c>
      <c r="E14" s="110">
        <f t="shared" ref="E14:E37" si="5">E13*(1+$D$9)</f>
        <v>0.13775849999999998</v>
      </c>
      <c r="F14" s="110">
        <f t="shared" si="0"/>
        <v>0.15775849999999997</v>
      </c>
      <c r="G14" s="115">
        <f t="shared" ref="G14:G37" si="6">B14*F14</f>
        <v>1506.9091919999996</v>
      </c>
      <c r="H14" s="113">
        <f t="shared" ref="H14:H37" si="7">D14+G14</f>
        <v>551.70919199999958</v>
      </c>
      <c r="I14" s="113">
        <f t="shared" ref="I14:I37" si="8">I13+H14</f>
        <v>1061.4691919999993</v>
      </c>
      <c r="J14" s="115">
        <f t="shared" si="1"/>
        <v>551.70919199999958</v>
      </c>
      <c r="K14" s="113">
        <f>J14+K13</f>
        <v>1061.4691919999993</v>
      </c>
    </row>
    <row r="15" spans="1:11" x14ac:dyDescent="0.25">
      <c r="A15" s="111">
        <v>3</v>
      </c>
      <c r="B15" s="112">
        <f t="shared" si="2"/>
        <v>9504.24</v>
      </c>
      <c r="C15" s="114">
        <f t="shared" si="3"/>
        <v>0.1</v>
      </c>
      <c r="D15" s="115">
        <f t="shared" si="4"/>
        <v>-950.42399999999998</v>
      </c>
      <c r="E15" s="110">
        <f t="shared" si="5"/>
        <v>0.14258004749999997</v>
      </c>
      <c r="F15" s="110">
        <f t="shared" si="0"/>
        <v>0.16258004749999996</v>
      </c>
      <c r="G15" s="115">
        <f t="shared" si="6"/>
        <v>1545.1997906513996</v>
      </c>
      <c r="H15" s="113">
        <f t="shared" si="7"/>
        <v>594.77579065139957</v>
      </c>
      <c r="I15" s="113">
        <f t="shared" si="8"/>
        <v>1656.2449826513989</v>
      </c>
      <c r="J15" s="115">
        <f t="shared" si="1"/>
        <v>594.77579065139957</v>
      </c>
      <c r="K15" s="113">
        <f t="shared" ref="K15:K37" si="9">J15+K14</f>
        <v>1656.2449826513989</v>
      </c>
    </row>
    <row r="16" spans="1:11" x14ac:dyDescent="0.25">
      <c r="A16" s="111">
        <v>4</v>
      </c>
      <c r="B16" s="112">
        <f t="shared" si="2"/>
        <v>9456.7188000000006</v>
      </c>
      <c r="C16" s="114">
        <f t="shared" si="3"/>
        <v>0.1</v>
      </c>
      <c r="D16" s="115">
        <f t="shared" si="4"/>
        <v>-945.6718800000001</v>
      </c>
      <c r="E16" s="110">
        <f t="shared" si="5"/>
        <v>0.14757034916249995</v>
      </c>
      <c r="F16" s="110">
        <f t="shared" si="0"/>
        <v>0.16757034916249994</v>
      </c>
      <c r="G16" s="115">
        <f t="shared" si="6"/>
        <v>1584.6656712475776</v>
      </c>
      <c r="H16" s="113">
        <f t="shared" si="7"/>
        <v>638.99379124757752</v>
      </c>
      <c r="I16" s="113">
        <f t="shared" si="8"/>
        <v>2295.2387738989764</v>
      </c>
      <c r="J16" s="115">
        <f t="shared" si="1"/>
        <v>638.99379124757752</v>
      </c>
      <c r="K16" s="113">
        <f t="shared" si="9"/>
        <v>2295.2387738989764</v>
      </c>
    </row>
    <row r="17" spans="1:11" x14ac:dyDescent="0.25">
      <c r="A17" s="100">
        <v>5</v>
      </c>
      <c r="B17" s="101">
        <f t="shared" si="2"/>
        <v>9409.4352060000001</v>
      </c>
      <c r="C17" s="102">
        <f t="shared" si="3"/>
        <v>0.1</v>
      </c>
      <c r="D17" s="99">
        <f t="shared" si="4"/>
        <v>-940.94352060000006</v>
      </c>
      <c r="E17" s="103">
        <f t="shared" si="5"/>
        <v>0.15273531138318744</v>
      </c>
      <c r="F17" s="103">
        <f t="shared" si="0"/>
        <v>0.17273531138318743</v>
      </c>
      <c r="G17" s="99">
        <f t="shared" si="6"/>
        <v>1625.3417202483363</v>
      </c>
      <c r="H17" s="99">
        <f t="shared" si="7"/>
        <v>684.39819964833623</v>
      </c>
      <c r="I17" s="99">
        <f t="shared" si="8"/>
        <v>2979.6369735473127</v>
      </c>
      <c r="J17" s="99">
        <f t="shared" si="1"/>
        <v>684.39819964833623</v>
      </c>
      <c r="K17" s="99">
        <f t="shared" si="9"/>
        <v>2979.6369735473127</v>
      </c>
    </row>
    <row r="18" spans="1:11" x14ac:dyDescent="0.25">
      <c r="A18" s="111">
        <v>6</v>
      </c>
      <c r="B18" s="112">
        <f t="shared" si="2"/>
        <v>9362.3880299699995</v>
      </c>
      <c r="C18" s="114">
        <f t="shared" si="3"/>
        <v>0.1</v>
      </c>
      <c r="D18" s="115">
        <f t="shared" si="4"/>
        <v>-936.23880299699999</v>
      </c>
      <c r="E18" s="110">
        <f t="shared" si="5"/>
        <v>0.158081047281599</v>
      </c>
      <c r="F18" s="110">
        <f t="shared" si="0"/>
        <v>0.17808104728159899</v>
      </c>
      <c r="G18" s="115">
        <f t="shared" si="6"/>
        <v>1667.2638654337638</v>
      </c>
      <c r="H18" s="113">
        <f t="shared" si="7"/>
        <v>731.02506243676385</v>
      </c>
      <c r="I18" s="113">
        <f t="shared" si="8"/>
        <v>3710.6620359840763</v>
      </c>
      <c r="J18" s="115">
        <f t="shared" si="1"/>
        <v>731.02506243676385</v>
      </c>
      <c r="K18" s="113">
        <f t="shared" si="9"/>
        <v>3710.6620359840763</v>
      </c>
    </row>
    <row r="19" spans="1:11" x14ac:dyDescent="0.25">
      <c r="A19" s="111">
        <v>7</v>
      </c>
      <c r="B19" s="112">
        <f t="shared" si="2"/>
        <v>9315.5760898201497</v>
      </c>
      <c r="C19" s="114">
        <f t="shared" si="3"/>
        <v>0.1</v>
      </c>
      <c r="D19" s="115">
        <f t="shared" si="4"/>
        <v>-931.55760898201504</v>
      </c>
      <c r="E19" s="110">
        <f t="shared" si="5"/>
        <v>0.16361388393645496</v>
      </c>
      <c r="F19" s="110">
        <f t="shared" si="0"/>
        <v>0.18361388393645495</v>
      </c>
      <c r="G19" s="115">
        <f t="shared" si="6"/>
        <v>1710.4691069574517</v>
      </c>
      <c r="H19" s="113">
        <f t="shared" si="7"/>
        <v>778.91149797543665</v>
      </c>
      <c r="I19" s="113">
        <f t="shared" si="8"/>
        <v>4489.573533959513</v>
      </c>
      <c r="J19" s="115">
        <f t="shared" si="1"/>
        <v>778.91149797543665</v>
      </c>
      <c r="K19" s="113">
        <f t="shared" si="9"/>
        <v>4489.573533959513</v>
      </c>
    </row>
    <row r="20" spans="1:11" x14ac:dyDescent="0.25">
      <c r="A20" s="111">
        <v>8</v>
      </c>
      <c r="B20" s="112">
        <f t="shared" si="2"/>
        <v>9268.9982093710496</v>
      </c>
      <c r="C20" s="114">
        <f t="shared" si="3"/>
        <v>0.1</v>
      </c>
      <c r="D20" s="115">
        <f t="shared" si="4"/>
        <v>-926.89982093710501</v>
      </c>
      <c r="E20" s="110">
        <f t="shared" si="5"/>
        <v>0.16934036987423087</v>
      </c>
      <c r="F20" s="110">
        <f t="shared" si="0"/>
        <v>0.18934036987423086</v>
      </c>
      <c r="G20" s="115">
        <f t="shared" si="6"/>
        <v>1754.9955493258981</v>
      </c>
      <c r="H20" s="113">
        <f t="shared" si="7"/>
        <v>828.09572838879308</v>
      </c>
      <c r="I20" s="113">
        <f t="shared" si="8"/>
        <v>5317.6692623483059</v>
      </c>
      <c r="J20" s="115">
        <f t="shared" si="1"/>
        <v>828.09572838879308</v>
      </c>
      <c r="K20" s="113">
        <f t="shared" si="9"/>
        <v>5317.6692623483059</v>
      </c>
    </row>
    <row r="21" spans="1:11" x14ac:dyDescent="0.25">
      <c r="A21" s="111">
        <v>9</v>
      </c>
      <c r="B21" s="112">
        <f t="shared" si="2"/>
        <v>9222.6532183241943</v>
      </c>
      <c r="C21" s="114">
        <f t="shared" si="3"/>
        <v>0.1</v>
      </c>
      <c r="D21" s="115">
        <f t="shared" si="4"/>
        <v>-922.26532183241943</v>
      </c>
      <c r="E21" s="110">
        <f t="shared" si="5"/>
        <v>0.17526728281982895</v>
      </c>
      <c r="F21" s="110">
        <f t="shared" si="0"/>
        <v>0.19526728281982894</v>
      </c>
      <c r="G21" s="115">
        <f t="shared" si="6"/>
        <v>1800.882434331716</v>
      </c>
      <c r="H21" s="113">
        <f t="shared" si="7"/>
        <v>878.61711249929658</v>
      </c>
      <c r="I21" s="113">
        <f t="shared" si="8"/>
        <v>6196.2863748476029</v>
      </c>
      <c r="J21" s="115">
        <f t="shared" si="1"/>
        <v>878.61711249929658</v>
      </c>
      <c r="K21" s="113">
        <f t="shared" si="9"/>
        <v>6196.2863748476029</v>
      </c>
    </row>
    <row r="22" spans="1:11" x14ac:dyDescent="0.25">
      <c r="A22" s="100">
        <v>10</v>
      </c>
      <c r="B22" s="101">
        <f t="shared" si="2"/>
        <v>9176.5399522325733</v>
      </c>
      <c r="C22" s="102">
        <f t="shared" si="3"/>
        <v>0.1</v>
      </c>
      <c r="D22" s="99">
        <f t="shared" si="4"/>
        <v>-917.65399522325743</v>
      </c>
      <c r="E22" s="103">
        <f t="shared" si="5"/>
        <v>0.18140163771852294</v>
      </c>
      <c r="F22" s="103">
        <f t="shared" si="0"/>
        <v>0.20140163771852293</v>
      </c>
      <c r="G22" s="99">
        <f t="shared" si="6"/>
        <v>1848.1701749690965</v>
      </c>
      <c r="H22" s="99">
        <f t="shared" si="7"/>
        <v>930.51617974583905</v>
      </c>
      <c r="I22" s="99">
        <f t="shared" si="8"/>
        <v>7126.8025545934415</v>
      </c>
      <c r="J22" s="99">
        <f t="shared" si="1"/>
        <v>930.51617974583905</v>
      </c>
      <c r="K22" s="99">
        <f t="shared" si="9"/>
        <v>7126.8025545934415</v>
      </c>
    </row>
    <row r="23" spans="1:11" x14ac:dyDescent="0.25">
      <c r="A23" s="111">
        <v>11</v>
      </c>
      <c r="B23" s="112">
        <f t="shared" si="2"/>
        <v>9130.6572524714102</v>
      </c>
      <c r="C23" s="114">
        <f t="shared" si="3"/>
        <v>0.1</v>
      </c>
      <c r="D23" s="115">
        <f t="shared" si="4"/>
        <v>-913.06572524714102</v>
      </c>
      <c r="E23" s="110">
        <f t="shared" si="5"/>
        <v>0.18775069503867123</v>
      </c>
      <c r="F23" s="110">
        <f t="shared" si="0"/>
        <v>0.20775069503867122</v>
      </c>
      <c r="G23" s="115">
        <f t="shared" si="6"/>
        <v>1896.9003903608195</v>
      </c>
      <c r="H23" s="113">
        <f t="shared" si="7"/>
        <v>983.83466511367851</v>
      </c>
      <c r="I23" s="113">
        <f t="shared" si="8"/>
        <v>8110.6372197071196</v>
      </c>
      <c r="J23" s="115">
        <f t="shared" si="1"/>
        <v>983.83466511367851</v>
      </c>
      <c r="K23" s="113">
        <f t="shared" si="9"/>
        <v>8110.6372197071196</v>
      </c>
    </row>
    <row r="24" spans="1:11" x14ac:dyDescent="0.25">
      <c r="A24" s="111">
        <v>12</v>
      </c>
      <c r="B24" s="112">
        <f t="shared" si="2"/>
        <v>9085.003966209053</v>
      </c>
      <c r="C24" s="114">
        <f t="shared" si="3"/>
        <v>0.1</v>
      </c>
      <c r="D24" s="115">
        <f t="shared" si="4"/>
        <v>-908.50039662090535</v>
      </c>
      <c r="E24" s="110">
        <f t="shared" si="5"/>
        <v>0.19432196936502472</v>
      </c>
      <c r="F24" s="110">
        <f t="shared" si="0"/>
        <v>0.21432196936502471</v>
      </c>
      <c r="G24" s="115">
        <f t="shared" si="6"/>
        <v>1947.1159417269846</v>
      </c>
      <c r="H24" s="113">
        <f t="shared" si="7"/>
        <v>1038.6155451060793</v>
      </c>
      <c r="I24" s="113">
        <f t="shared" si="8"/>
        <v>9149.2527648131982</v>
      </c>
      <c r="J24" s="115">
        <f t="shared" si="1"/>
        <v>1038.6155451060793</v>
      </c>
      <c r="K24" s="113">
        <f t="shared" si="9"/>
        <v>9149.2527648131982</v>
      </c>
    </row>
    <row r="25" spans="1:11" x14ac:dyDescent="0.25">
      <c r="A25" s="111">
        <v>13</v>
      </c>
      <c r="B25" s="112">
        <f t="shared" si="2"/>
        <v>9039.5789463780075</v>
      </c>
      <c r="C25" s="114">
        <f t="shared" si="3"/>
        <v>0.1</v>
      </c>
      <c r="D25" s="115">
        <f t="shared" si="4"/>
        <v>-903.95789463780079</v>
      </c>
      <c r="E25" s="110">
        <f t="shared" si="5"/>
        <v>0.20112323829280057</v>
      </c>
      <c r="F25" s="110">
        <f t="shared" si="0"/>
        <v>0.22112323829280056</v>
      </c>
      <c r="G25" s="115">
        <f t="shared" si="6"/>
        <v>1998.8609694265272</v>
      </c>
      <c r="H25" s="113">
        <f t="shared" si="7"/>
        <v>1094.9030747887264</v>
      </c>
      <c r="I25" s="113">
        <f t="shared" si="8"/>
        <v>10244.155839601925</v>
      </c>
      <c r="J25" s="115">
        <f t="shared" si="1"/>
        <v>1094.9030747887264</v>
      </c>
      <c r="K25" s="113">
        <f t="shared" si="9"/>
        <v>10244.155839601925</v>
      </c>
    </row>
    <row r="26" spans="1:11" x14ac:dyDescent="0.25">
      <c r="A26" s="111">
        <v>14</v>
      </c>
      <c r="B26" s="112">
        <f t="shared" si="2"/>
        <v>8994.3810516461181</v>
      </c>
      <c r="C26" s="114">
        <f t="shared" si="3"/>
        <v>0.1</v>
      </c>
      <c r="D26" s="115">
        <f t="shared" si="4"/>
        <v>-899.4381051646119</v>
      </c>
      <c r="E26" s="110">
        <f t="shared" si="5"/>
        <v>0.20816255163304859</v>
      </c>
      <c r="F26" s="110">
        <f t="shared" si="0"/>
        <v>0.22816255163304858</v>
      </c>
      <c r="G26" s="115">
        <f t="shared" si="6"/>
        <v>2052.1809311035213</v>
      </c>
      <c r="H26" s="113">
        <f t="shared" si="7"/>
        <v>1152.7428259389094</v>
      </c>
      <c r="I26" s="113">
        <f t="shared" si="8"/>
        <v>11396.898665540833</v>
      </c>
      <c r="J26" s="115">
        <f t="shared" si="1"/>
        <v>1152.7428259389094</v>
      </c>
      <c r="K26" s="113">
        <f t="shared" si="9"/>
        <v>11396.898665540833</v>
      </c>
    </row>
    <row r="27" spans="1:11" x14ac:dyDescent="0.25">
      <c r="A27" s="100">
        <v>15</v>
      </c>
      <c r="B27" s="101">
        <f t="shared" si="2"/>
        <v>8949.4091463878867</v>
      </c>
      <c r="C27" s="102">
        <f t="shared" si="3"/>
        <v>0.1</v>
      </c>
      <c r="D27" s="99">
        <f t="shared" si="4"/>
        <v>-894.94091463878874</v>
      </c>
      <c r="E27" s="103">
        <f t="shared" si="5"/>
        <v>0.21544824094020526</v>
      </c>
      <c r="F27" s="103">
        <f t="shared" si="0"/>
        <v>0.23544824094020525</v>
      </c>
      <c r="G27" s="99">
        <f t="shared" si="6"/>
        <v>2107.1226409712117</v>
      </c>
      <c r="H27" s="99">
        <f t="shared" si="7"/>
        <v>1212.1817263324228</v>
      </c>
      <c r="I27" s="99">
        <f t="shared" si="8"/>
        <v>12609.080391873256</v>
      </c>
      <c r="J27" s="99">
        <f t="shared" si="1"/>
        <v>1212.1817263324228</v>
      </c>
      <c r="K27" s="99">
        <f t="shared" si="9"/>
        <v>12609.080391873256</v>
      </c>
    </row>
    <row r="28" spans="1:11" x14ac:dyDescent="0.25">
      <c r="A28" s="111">
        <v>16</v>
      </c>
      <c r="B28" s="112">
        <f t="shared" si="2"/>
        <v>8904.6621006559471</v>
      </c>
      <c r="C28" s="114">
        <f t="shared" si="3"/>
        <v>0.1</v>
      </c>
      <c r="D28" s="115">
        <f t="shared" si="4"/>
        <v>-890.46621006559474</v>
      </c>
      <c r="E28" s="110">
        <f t="shared" si="5"/>
        <v>0.22298892937311243</v>
      </c>
      <c r="F28" s="110">
        <f t="shared" si="0"/>
        <v>0.24298892937311242</v>
      </c>
      <c r="G28" s="115">
        <f t="shared" si="6"/>
        <v>2163.7343102677187</v>
      </c>
      <c r="H28" s="113">
        <f t="shared" si="7"/>
        <v>1273.2681002021241</v>
      </c>
      <c r="I28" s="113">
        <f t="shared" si="8"/>
        <v>13882.34849207538</v>
      </c>
      <c r="J28" s="115">
        <f t="shared" si="1"/>
        <v>1273.2681002021241</v>
      </c>
      <c r="K28" s="113">
        <f t="shared" si="9"/>
        <v>13882.34849207538</v>
      </c>
    </row>
    <row r="29" spans="1:11" x14ac:dyDescent="0.25">
      <c r="A29" s="111">
        <v>17</v>
      </c>
      <c r="B29" s="112">
        <f t="shared" si="2"/>
        <v>8860.1387901526668</v>
      </c>
      <c r="C29" s="114">
        <f t="shared" si="3"/>
        <v>0.1</v>
      </c>
      <c r="D29" s="115">
        <f t="shared" si="4"/>
        <v>-886.01387901526675</v>
      </c>
      <c r="E29" s="110">
        <f t="shared" si="5"/>
        <v>0.23079354190117135</v>
      </c>
      <c r="F29" s="110">
        <f t="shared" si="0"/>
        <v>0.25079354190117137</v>
      </c>
      <c r="G29" s="115">
        <f t="shared" si="6"/>
        <v>2222.0655889183467</v>
      </c>
      <c r="H29" s="113">
        <f t="shared" si="7"/>
        <v>1336.0517099030799</v>
      </c>
      <c r="I29" s="113">
        <f t="shared" si="8"/>
        <v>15218.40020197846</v>
      </c>
      <c r="J29" s="115">
        <f t="shared" si="1"/>
        <v>1336.0517099030799</v>
      </c>
      <c r="K29" s="113">
        <f t="shared" si="9"/>
        <v>15218.40020197846</v>
      </c>
    </row>
    <row r="30" spans="1:11" x14ac:dyDescent="0.25">
      <c r="A30" s="111">
        <v>18</v>
      </c>
      <c r="B30" s="112">
        <f t="shared" si="2"/>
        <v>8815.8380962019037</v>
      </c>
      <c r="C30" s="114">
        <f t="shared" si="3"/>
        <v>0.1</v>
      </c>
      <c r="D30" s="115">
        <f t="shared" si="4"/>
        <v>-881.58380962019044</v>
      </c>
      <c r="E30" s="110">
        <f t="shared" si="5"/>
        <v>0.23887131586771232</v>
      </c>
      <c r="F30" s="110">
        <f t="shared" si="0"/>
        <v>0.25887131586771234</v>
      </c>
      <c r="G30" s="115">
        <f t="shared" si="6"/>
        <v>2282.1676084404949</v>
      </c>
      <c r="H30" s="113">
        <f t="shared" si="7"/>
        <v>1400.5837988203043</v>
      </c>
      <c r="I30" s="113">
        <f t="shared" si="8"/>
        <v>16618.984000798766</v>
      </c>
      <c r="J30" s="115">
        <f t="shared" si="1"/>
        <v>1400.5837988203043</v>
      </c>
      <c r="K30" s="113">
        <f t="shared" si="9"/>
        <v>16618.984000798766</v>
      </c>
    </row>
    <row r="31" spans="1:11" x14ac:dyDescent="0.25">
      <c r="A31" s="111">
        <v>19</v>
      </c>
      <c r="B31" s="112">
        <f t="shared" si="2"/>
        <v>8771.7589057208934</v>
      </c>
      <c r="C31" s="114">
        <f t="shared" si="3"/>
        <v>0.1</v>
      </c>
      <c r="D31" s="115">
        <f t="shared" si="4"/>
        <v>-877.17589057208943</v>
      </c>
      <c r="E31" s="110">
        <f t="shared" si="5"/>
        <v>0.24723181192308225</v>
      </c>
      <c r="F31" s="110">
        <f t="shared" si="0"/>
        <v>0.26723181192308226</v>
      </c>
      <c r="G31" s="115">
        <f t="shared" si="6"/>
        <v>2344.0930261282278</v>
      </c>
      <c r="H31" s="113">
        <f t="shared" si="7"/>
        <v>1466.9171355561384</v>
      </c>
      <c r="I31" s="113">
        <f t="shared" si="8"/>
        <v>18085.901136354903</v>
      </c>
      <c r="J31" s="115">
        <f t="shared" si="1"/>
        <v>1466.9171355561384</v>
      </c>
      <c r="K31" s="113">
        <f t="shared" si="9"/>
        <v>18085.901136354903</v>
      </c>
    </row>
    <row r="32" spans="1:11" x14ac:dyDescent="0.25">
      <c r="A32" s="100">
        <v>20</v>
      </c>
      <c r="B32" s="101">
        <f t="shared" si="2"/>
        <v>8727.900111192288</v>
      </c>
      <c r="C32" s="102">
        <f t="shared" si="3"/>
        <v>0.1</v>
      </c>
      <c r="D32" s="99">
        <f t="shared" si="4"/>
        <v>-872.79001111922889</v>
      </c>
      <c r="E32" s="103">
        <f t="shared" si="5"/>
        <v>0.25588492534039009</v>
      </c>
      <c r="F32" s="103">
        <f t="shared" si="0"/>
        <v>0.27588492534039011</v>
      </c>
      <c r="G32" s="99">
        <f t="shared" si="6"/>
        <v>2407.8960705546669</v>
      </c>
      <c r="H32" s="99">
        <f t="shared" si="7"/>
        <v>1535.1060594354381</v>
      </c>
      <c r="I32" s="99">
        <f t="shared" si="8"/>
        <v>19621.007195790342</v>
      </c>
      <c r="J32" s="99">
        <f t="shared" si="1"/>
        <v>1535.1060594354381</v>
      </c>
      <c r="K32" s="99">
        <f t="shared" si="9"/>
        <v>19621.007195790342</v>
      </c>
    </row>
    <row r="33" spans="1:11" x14ac:dyDescent="0.25">
      <c r="A33" s="111">
        <v>21</v>
      </c>
      <c r="B33" s="112">
        <f t="shared" si="2"/>
        <v>8684.2606106363273</v>
      </c>
      <c r="C33" s="114">
        <f t="shared" si="3"/>
        <v>0.1</v>
      </c>
      <c r="D33" s="115">
        <f t="shared" si="4"/>
        <v>-868.4260610636328</v>
      </c>
      <c r="E33" s="110">
        <f t="shared" si="5"/>
        <v>0.26484089772730374</v>
      </c>
      <c r="F33" s="110">
        <f t="shared" si="0"/>
        <v>0.28484089772730375</v>
      </c>
      <c r="G33" s="115">
        <f t="shared" si="6"/>
        <v>2473.6325884315147</v>
      </c>
      <c r="H33" s="113">
        <f t="shared" si="7"/>
        <v>1605.2065273678818</v>
      </c>
      <c r="I33" s="113">
        <f t="shared" si="8"/>
        <v>21226.213723158224</v>
      </c>
      <c r="J33" s="115">
        <f t="shared" si="1"/>
        <v>1605.2065273678818</v>
      </c>
      <c r="K33" s="113">
        <f t="shared" si="9"/>
        <v>21226.213723158224</v>
      </c>
    </row>
    <row r="34" spans="1:11" x14ac:dyDescent="0.25">
      <c r="A34" s="111">
        <v>22</v>
      </c>
      <c r="B34" s="112">
        <f t="shared" si="2"/>
        <v>8640.8393075831464</v>
      </c>
      <c r="C34" s="114">
        <f t="shared" si="3"/>
        <v>0.1</v>
      </c>
      <c r="D34" s="115">
        <f t="shared" si="4"/>
        <v>-864.08393075831464</v>
      </c>
      <c r="E34" s="110">
        <f t="shared" si="5"/>
        <v>0.27411032914775935</v>
      </c>
      <c r="F34" s="110">
        <f t="shared" si="0"/>
        <v>0.29411032914775936</v>
      </c>
      <c r="G34" s="115">
        <f t="shared" si="6"/>
        <v>2541.3600928661763</v>
      </c>
      <c r="H34" s="113">
        <f t="shared" si="7"/>
        <v>1677.2761621078616</v>
      </c>
      <c r="I34" s="113">
        <f t="shared" si="8"/>
        <v>22903.489885266084</v>
      </c>
      <c r="J34" s="115">
        <f t="shared" si="1"/>
        <v>1677.2761621078616</v>
      </c>
      <c r="K34" s="113">
        <f t="shared" si="9"/>
        <v>22903.489885266084</v>
      </c>
    </row>
    <row r="35" spans="1:11" x14ac:dyDescent="0.25">
      <c r="A35" s="111">
        <v>23</v>
      </c>
      <c r="B35" s="112">
        <f t="shared" si="2"/>
        <v>8597.6351110452306</v>
      </c>
      <c r="C35" s="114">
        <f t="shared" si="3"/>
        <v>0.1</v>
      </c>
      <c r="D35" s="115">
        <f t="shared" si="4"/>
        <v>-859.7635111045231</v>
      </c>
      <c r="E35" s="110">
        <f t="shared" si="5"/>
        <v>0.2837041906679309</v>
      </c>
      <c r="F35" s="110">
        <f t="shared" si="0"/>
        <v>0.30370419066793092</v>
      </c>
      <c r="G35" s="115">
        <f t="shared" si="6"/>
        <v>2611.1378130581779</v>
      </c>
      <c r="H35" s="113">
        <f t="shared" si="7"/>
        <v>1751.3743019536548</v>
      </c>
      <c r="I35" s="113">
        <f t="shared" si="8"/>
        <v>24654.86418721974</v>
      </c>
      <c r="J35" s="115">
        <f t="shared" si="1"/>
        <v>1751.3743019536548</v>
      </c>
      <c r="K35" s="113">
        <f t="shared" si="9"/>
        <v>24654.86418721974</v>
      </c>
    </row>
    <row r="36" spans="1:11" x14ac:dyDescent="0.25">
      <c r="A36" s="111">
        <v>24</v>
      </c>
      <c r="B36" s="112">
        <f t="shared" si="2"/>
        <v>8554.6469354900037</v>
      </c>
      <c r="C36" s="114">
        <f t="shared" si="3"/>
        <v>0.1</v>
      </c>
      <c r="D36" s="115">
        <f t="shared" si="4"/>
        <v>-855.46469354900046</v>
      </c>
      <c r="E36" s="110">
        <f t="shared" si="5"/>
        <v>0.29363383734130843</v>
      </c>
      <c r="F36" s="110">
        <f t="shared" si="0"/>
        <v>0.31363383734130845</v>
      </c>
      <c r="G36" s="115">
        <f t="shared" si="6"/>
        <v>2683.0267454777945</v>
      </c>
      <c r="H36" s="113">
        <f t="shared" si="7"/>
        <v>1827.5620519287941</v>
      </c>
      <c r="I36" s="113">
        <f t="shared" si="8"/>
        <v>26482.426239148535</v>
      </c>
      <c r="J36" s="115">
        <f t="shared" si="1"/>
        <v>1827.5620519287941</v>
      </c>
      <c r="K36" s="113">
        <f t="shared" si="9"/>
        <v>26482.426239148535</v>
      </c>
    </row>
    <row r="37" spans="1:11" x14ac:dyDescent="0.25">
      <c r="A37" s="100">
        <v>25</v>
      </c>
      <c r="B37" s="101">
        <f t="shared" si="2"/>
        <v>8511.8737008125536</v>
      </c>
      <c r="C37" s="102">
        <f t="shared" si="3"/>
        <v>0.1</v>
      </c>
      <c r="D37" s="99">
        <f t="shared" si="4"/>
        <v>-851.18737008125538</v>
      </c>
      <c r="E37" s="103">
        <f t="shared" si="5"/>
        <v>0.30391102164825423</v>
      </c>
      <c r="F37" s="103">
        <f t="shared" si="0"/>
        <v>0.32391102164825425</v>
      </c>
      <c r="G37" s="99">
        <f t="shared" si="6"/>
        <v>2757.089706571101</v>
      </c>
      <c r="H37" s="99">
        <f t="shared" si="7"/>
        <v>1905.9023364898458</v>
      </c>
      <c r="I37" s="99">
        <f t="shared" si="8"/>
        <v>28388.328575638381</v>
      </c>
      <c r="J37" s="99">
        <f t="shared" si="1"/>
        <v>1905.9023364898458</v>
      </c>
      <c r="K37" s="99">
        <f t="shared" si="9"/>
        <v>28388.328575638381</v>
      </c>
    </row>
  </sheetData>
  <mergeCells count="18">
    <mergeCell ref="A5:C5"/>
    <mergeCell ref="E5:J5"/>
    <mergeCell ref="A9:C9"/>
    <mergeCell ref="E9:J9"/>
    <mergeCell ref="A10:C10"/>
    <mergeCell ref="E10:J10"/>
    <mergeCell ref="A6:C6"/>
    <mergeCell ref="E6:J6"/>
    <mergeCell ref="A7:C7"/>
    <mergeCell ref="E7:J7"/>
    <mergeCell ref="A8:C8"/>
    <mergeCell ref="E8:J8"/>
    <mergeCell ref="A2:D2"/>
    <mergeCell ref="E2:J2"/>
    <mergeCell ref="A3:C3"/>
    <mergeCell ref="E3:J3"/>
    <mergeCell ref="A4:C4"/>
    <mergeCell ref="E4:J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workbookViewId="0">
      <selection activeCell="L1" sqref="L1:Y1048576"/>
    </sheetView>
  </sheetViews>
  <sheetFormatPr defaultColWidth="8.85546875" defaultRowHeight="15" x14ac:dyDescent="0.25"/>
  <cols>
    <col min="1" max="11" width="12.5703125" style="106" customWidth="1"/>
    <col min="12" max="25" width="8.85546875" style="168"/>
    <col min="26" max="16384" width="8.85546875" style="106"/>
  </cols>
  <sheetData>
    <row r="1" spans="1:11" ht="21" x14ac:dyDescent="0.25">
      <c r="A1" s="94" t="s">
        <v>74</v>
      </c>
      <c r="B1" s="95" t="s">
        <v>131</v>
      </c>
      <c r="C1" s="96"/>
      <c r="D1" s="96"/>
      <c r="E1" s="96"/>
      <c r="F1" s="96"/>
      <c r="G1" s="96"/>
      <c r="H1" s="96"/>
      <c r="I1" s="96"/>
      <c r="J1" s="97"/>
      <c r="K1" s="128"/>
    </row>
    <row r="2" spans="1:11" x14ac:dyDescent="0.25">
      <c r="A2" s="210" t="s">
        <v>75</v>
      </c>
      <c r="B2" s="210"/>
      <c r="C2" s="210"/>
      <c r="D2" s="210"/>
      <c r="E2" s="211" t="s">
        <v>54</v>
      </c>
      <c r="F2" s="211"/>
      <c r="G2" s="211"/>
      <c r="H2" s="211"/>
      <c r="I2" s="211"/>
      <c r="J2" s="211"/>
      <c r="K2" s="129"/>
    </row>
    <row r="3" spans="1:11" ht="28.15" customHeight="1" x14ac:dyDescent="0.25">
      <c r="A3" s="212" t="s">
        <v>76</v>
      </c>
      <c r="B3" s="213"/>
      <c r="C3" s="214"/>
      <c r="D3" s="137">
        <f>'Xcel CSG Calculator'!H7</f>
        <v>9600</v>
      </c>
      <c r="E3" s="215"/>
      <c r="F3" s="215"/>
      <c r="G3" s="215"/>
      <c r="H3" s="215"/>
      <c r="I3" s="215"/>
      <c r="J3" s="215"/>
      <c r="K3" s="126"/>
    </row>
    <row r="4" spans="1:11" x14ac:dyDescent="0.25">
      <c r="A4" s="216" t="s">
        <v>77</v>
      </c>
      <c r="B4" s="216"/>
      <c r="C4" s="216"/>
      <c r="D4" s="132">
        <f>'Xcel CSG Calculator'!F21</f>
        <v>0.08</v>
      </c>
      <c r="E4" s="217" t="s">
        <v>78</v>
      </c>
      <c r="F4" s="217"/>
      <c r="G4" s="217"/>
      <c r="H4" s="217"/>
      <c r="I4" s="217"/>
      <c r="J4" s="217"/>
      <c r="K4" s="126"/>
    </row>
    <row r="5" spans="1:11" x14ac:dyDescent="0.25">
      <c r="A5" s="216" t="s">
        <v>79</v>
      </c>
      <c r="B5" s="216"/>
      <c r="C5" s="216"/>
      <c r="D5" s="136">
        <f>'Xcel CSG Calculator'!H8</f>
        <v>0.1331</v>
      </c>
      <c r="E5" s="217" t="s">
        <v>80</v>
      </c>
      <c r="F5" s="217"/>
      <c r="G5" s="217"/>
      <c r="H5" s="217"/>
      <c r="I5" s="217"/>
      <c r="J5" s="217"/>
      <c r="K5" s="126"/>
    </row>
    <row r="6" spans="1:11" x14ac:dyDescent="0.25">
      <c r="A6" s="216" t="s">
        <v>81</v>
      </c>
      <c r="B6" s="216"/>
      <c r="C6" s="216"/>
      <c r="D6" s="133">
        <f>'Xcel CSG Calculator'!H9</f>
        <v>0.02</v>
      </c>
      <c r="E6" s="217" t="s">
        <v>82</v>
      </c>
      <c r="F6" s="217"/>
      <c r="G6" s="217"/>
      <c r="H6" s="217"/>
      <c r="I6" s="217"/>
      <c r="J6" s="217"/>
      <c r="K6" s="126"/>
    </row>
    <row r="7" spans="1:11" x14ac:dyDescent="0.25">
      <c r="A7" s="216" t="s">
        <v>83</v>
      </c>
      <c r="B7" s="216"/>
      <c r="C7" s="216"/>
      <c r="D7" s="98">
        <f>'Xcel CSG Calculator'!G21</f>
        <v>2.5000000000000001E-2</v>
      </c>
      <c r="E7" s="217" t="s">
        <v>84</v>
      </c>
      <c r="F7" s="217"/>
      <c r="G7" s="217"/>
      <c r="H7" s="217"/>
      <c r="I7" s="217"/>
      <c r="J7" s="217"/>
      <c r="K7" s="126"/>
    </row>
    <row r="8" spans="1:11" x14ac:dyDescent="0.25">
      <c r="A8" s="216" t="s">
        <v>85</v>
      </c>
      <c r="B8" s="216"/>
      <c r="C8" s="216"/>
      <c r="D8" s="131">
        <v>5.0000000000000001E-3</v>
      </c>
      <c r="E8" s="217" t="s">
        <v>86</v>
      </c>
      <c r="F8" s="217"/>
      <c r="G8" s="217"/>
      <c r="H8" s="217"/>
      <c r="I8" s="217"/>
      <c r="J8" s="217"/>
      <c r="K8" s="126"/>
    </row>
    <row r="9" spans="1:11" x14ac:dyDescent="0.25">
      <c r="A9" s="216" t="s">
        <v>87</v>
      </c>
      <c r="B9" s="216"/>
      <c r="C9" s="216"/>
      <c r="D9" s="131">
        <f>'Xcel CSG Calculator'!H10</f>
        <v>3.5000000000000003E-2</v>
      </c>
      <c r="E9" s="217" t="s">
        <v>88</v>
      </c>
      <c r="F9" s="217"/>
      <c r="G9" s="217"/>
      <c r="H9" s="217"/>
      <c r="I9" s="217"/>
      <c r="J9" s="217"/>
      <c r="K9" s="126"/>
    </row>
    <row r="10" spans="1:11" x14ac:dyDescent="0.25">
      <c r="A10" s="216" t="s">
        <v>18</v>
      </c>
      <c r="B10" s="216"/>
      <c r="C10" s="216"/>
      <c r="D10" s="131">
        <f>'Xcel CSG Calculator'!H11</f>
        <v>0</v>
      </c>
      <c r="E10" s="217" t="s">
        <v>89</v>
      </c>
      <c r="F10" s="217"/>
      <c r="G10" s="217"/>
      <c r="H10" s="217"/>
      <c r="I10" s="217"/>
      <c r="J10" s="217"/>
      <c r="K10" s="126"/>
    </row>
    <row r="11" spans="1:11" x14ac:dyDescent="0.25">
      <c r="A11" s="124"/>
      <c r="B11" s="124"/>
      <c r="C11" s="124"/>
      <c r="D11" s="125"/>
      <c r="E11" s="125"/>
      <c r="F11" s="125"/>
      <c r="G11" s="125"/>
      <c r="H11" s="125"/>
      <c r="I11" s="125"/>
      <c r="J11" s="125"/>
      <c r="K11" s="126"/>
    </row>
    <row r="12" spans="1:11" ht="60" x14ac:dyDescent="0.25">
      <c r="A12" s="109" t="s">
        <v>90</v>
      </c>
      <c r="B12" s="109" t="s">
        <v>91</v>
      </c>
      <c r="C12" s="109" t="s">
        <v>92</v>
      </c>
      <c r="D12" s="116" t="s">
        <v>93</v>
      </c>
      <c r="E12" s="109" t="s">
        <v>94</v>
      </c>
      <c r="F12" s="109" t="s">
        <v>95</v>
      </c>
      <c r="G12" s="116" t="s">
        <v>96</v>
      </c>
      <c r="H12" s="109" t="s">
        <v>97</v>
      </c>
      <c r="I12" s="109" t="s">
        <v>98</v>
      </c>
      <c r="J12" s="116" t="s">
        <v>99</v>
      </c>
      <c r="K12" s="109" t="s">
        <v>100</v>
      </c>
    </row>
    <row r="13" spans="1:11" x14ac:dyDescent="0.25">
      <c r="A13" s="111">
        <v>1</v>
      </c>
      <c r="B13" s="112">
        <f>$D$3</f>
        <v>9600</v>
      </c>
      <c r="C13" s="114">
        <f>D4</f>
        <v>0.08</v>
      </c>
      <c r="D13" s="115">
        <f>B13*C13*-1</f>
        <v>-768</v>
      </c>
      <c r="E13" s="110">
        <f>D5</f>
        <v>0.1331</v>
      </c>
      <c r="F13" s="110">
        <f t="shared" ref="F13:F37" si="0">E13+$D$6</f>
        <v>0.15309999999999999</v>
      </c>
      <c r="G13" s="115">
        <f>B13*F13</f>
        <v>1469.7599999999998</v>
      </c>
      <c r="H13" s="113">
        <f>D13+G13</f>
        <v>701.75999999999976</v>
      </c>
      <c r="I13" s="113">
        <f>H13</f>
        <v>701.75999999999976</v>
      </c>
      <c r="J13" s="115">
        <f t="shared" ref="J13:J37" si="1">H13/(1+$D$10)^($A13-1)</f>
        <v>701.75999999999976</v>
      </c>
      <c r="K13" s="113">
        <f>J13</f>
        <v>701.75999999999976</v>
      </c>
    </row>
    <row r="14" spans="1:11" x14ac:dyDescent="0.25">
      <c r="A14" s="111">
        <v>2</v>
      </c>
      <c r="B14" s="112">
        <f t="shared" ref="B14:B37" si="2">B13*(1-$D$8)</f>
        <v>9552</v>
      </c>
      <c r="C14" s="114">
        <f t="shared" ref="C14:C37" si="3">C13*(1+$D$7)</f>
        <v>8.199999999999999E-2</v>
      </c>
      <c r="D14" s="115">
        <f t="shared" ref="D14:D37" si="4">B14*C14*-1</f>
        <v>-783.2639999999999</v>
      </c>
      <c r="E14" s="110">
        <f t="shared" ref="E14:E37" si="5">E13*(1+$D$9)</f>
        <v>0.13775849999999998</v>
      </c>
      <c r="F14" s="110">
        <f t="shared" si="0"/>
        <v>0.15775849999999997</v>
      </c>
      <c r="G14" s="115">
        <f t="shared" ref="G14:G37" si="6">B14*F14</f>
        <v>1506.9091919999996</v>
      </c>
      <c r="H14" s="113">
        <f t="shared" ref="H14:H37" si="7">D14+G14</f>
        <v>723.64519199999972</v>
      </c>
      <c r="I14" s="113">
        <f t="shared" ref="I14:I37" si="8">I13+H14</f>
        <v>1425.4051919999995</v>
      </c>
      <c r="J14" s="115">
        <f t="shared" si="1"/>
        <v>723.64519199999972</v>
      </c>
      <c r="K14" s="113">
        <f>J14+K13</f>
        <v>1425.4051919999995</v>
      </c>
    </row>
    <row r="15" spans="1:11" x14ac:dyDescent="0.25">
      <c r="A15" s="111">
        <v>3</v>
      </c>
      <c r="B15" s="112">
        <f t="shared" si="2"/>
        <v>9504.24</v>
      </c>
      <c r="C15" s="114">
        <f t="shared" si="3"/>
        <v>8.4049999999999986E-2</v>
      </c>
      <c r="D15" s="115">
        <f t="shared" si="4"/>
        <v>-798.83137199999987</v>
      </c>
      <c r="E15" s="110">
        <f t="shared" si="5"/>
        <v>0.14258004749999997</v>
      </c>
      <c r="F15" s="110">
        <f t="shared" si="0"/>
        <v>0.16258004749999996</v>
      </c>
      <c r="G15" s="115">
        <f t="shared" si="6"/>
        <v>1545.1997906513996</v>
      </c>
      <c r="H15" s="113">
        <f t="shared" si="7"/>
        <v>746.36841865139968</v>
      </c>
      <c r="I15" s="113">
        <f t="shared" si="8"/>
        <v>2171.7736106513994</v>
      </c>
      <c r="J15" s="115">
        <f t="shared" si="1"/>
        <v>746.36841865139968</v>
      </c>
      <c r="K15" s="113">
        <f t="shared" ref="K15:K37" si="9">J15+K14</f>
        <v>2171.7736106513994</v>
      </c>
    </row>
    <row r="16" spans="1:11" x14ac:dyDescent="0.25">
      <c r="A16" s="111">
        <v>4</v>
      </c>
      <c r="B16" s="112">
        <f t="shared" si="2"/>
        <v>9456.7188000000006</v>
      </c>
      <c r="C16" s="114">
        <f t="shared" si="3"/>
        <v>8.6151249999999985E-2</v>
      </c>
      <c r="D16" s="115">
        <f t="shared" si="4"/>
        <v>-814.70814551849992</v>
      </c>
      <c r="E16" s="110">
        <f t="shared" si="5"/>
        <v>0.14757034916249995</v>
      </c>
      <c r="F16" s="110">
        <f t="shared" si="0"/>
        <v>0.16757034916249994</v>
      </c>
      <c r="G16" s="115">
        <f t="shared" si="6"/>
        <v>1584.6656712475776</v>
      </c>
      <c r="H16" s="113">
        <f t="shared" si="7"/>
        <v>769.9575257290777</v>
      </c>
      <c r="I16" s="113">
        <f t="shared" si="8"/>
        <v>2941.731136380477</v>
      </c>
      <c r="J16" s="115">
        <f t="shared" si="1"/>
        <v>769.9575257290777</v>
      </c>
      <c r="K16" s="113">
        <f t="shared" si="9"/>
        <v>2941.731136380477</v>
      </c>
    </row>
    <row r="17" spans="1:11" x14ac:dyDescent="0.25">
      <c r="A17" s="100">
        <v>5</v>
      </c>
      <c r="B17" s="101">
        <f t="shared" si="2"/>
        <v>9409.4352060000001</v>
      </c>
      <c r="C17" s="102">
        <f t="shared" si="3"/>
        <v>8.8305031249999971E-2</v>
      </c>
      <c r="D17" s="99">
        <f t="shared" si="4"/>
        <v>-830.90046991067993</v>
      </c>
      <c r="E17" s="103">
        <f t="shared" si="5"/>
        <v>0.15273531138318744</v>
      </c>
      <c r="F17" s="103">
        <f t="shared" si="0"/>
        <v>0.17273531138318743</v>
      </c>
      <c r="G17" s="99">
        <f t="shared" si="6"/>
        <v>1625.3417202483363</v>
      </c>
      <c r="H17" s="99">
        <f t="shared" si="7"/>
        <v>794.44125033765636</v>
      </c>
      <c r="I17" s="99">
        <f t="shared" si="8"/>
        <v>3736.1723867181336</v>
      </c>
      <c r="J17" s="99">
        <f t="shared" si="1"/>
        <v>794.44125033765636</v>
      </c>
      <c r="K17" s="99">
        <f t="shared" si="9"/>
        <v>3736.1723867181336</v>
      </c>
    </row>
    <row r="18" spans="1:11" x14ac:dyDescent="0.25">
      <c r="A18" s="111">
        <v>6</v>
      </c>
      <c r="B18" s="112">
        <f t="shared" si="2"/>
        <v>9362.3880299699995</v>
      </c>
      <c r="C18" s="114">
        <f t="shared" si="3"/>
        <v>9.0512657031249957E-2</v>
      </c>
      <c r="D18" s="115">
        <f t="shared" si="4"/>
        <v>-847.41461675015455</v>
      </c>
      <c r="E18" s="110">
        <f t="shared" si="5"/>
        <v>0.158081047281599</v>
      </c>
      <c r="F18" s="110">
        <f t="shared" si="0"/>
        <v>0.17808104728159899</v>
      </c>
      <c r="G18" s="115">
        <f t="shared" si="6"/>
        <v>1667.2638654337638</v>
      </c>
      <c r="H18" s="113">
        <f t="shared" si="7"/>
        <v>819.84924868360929</v>
      </c>
      <c r="I18" s="113">
        <f t="shared" si="8"/>
        <v>4556.021635401743</v>
      </c>
      <c r="J18" s="115">
        <f t="shared" si="1"/>
        <v>819.84924868360929</v>
      </c>
      <c r="K18" s="113">
        <f t="shared" si="9"/>
        <v>4556.021635401743</v>
      </c>
    </row>
    <row r="19" spans="1:11" x14ac:dyDescent="0.25">
      <c r="A19" s="111">
        <v>7</v>
      </c>
      <c r="B19" s="112">
        <f t="shared" si="2"/>
        <v>9315.5760898201497</v>
      </c>
      <c r="C19" s="114">
        <f t="shared" si="3"/>
        <v>9.2775473457031202E-2</v>
      </c>
      <c r="D19" s="115">
        <f t="shared" si="4"/>
        <v>-864.25698225806377</v>
      </c>
      <c r="E19" s="110">
        <f t="shared" si="5"/>
        <v>0.16361388393645496</v>
      </c>
      <c r="F19" s="110">
        <f t="shared" si="0"/>
        <v>0.18361388393645495</v>
      </c>
      <c r="G19" s="115">
        <f t="shared" si="6"/>
        <v>1710.4691069574517</v>
      </c>
      <c r="H19" s="113">
        <f t="shared" si="7"/>
        <v>846.21212469938791</v>
      </c>
      <c r="I19" s="113">
        <f t="shared" si="8"/>
        <v>5402.2337601011313</v>
      </c>
      <c r="J19" s="115">
        <f t="shared" si="1"/>
        <v>846.21212469938791</v>
      </c>
      <c r="K19" s="113">
        <f t="shared" si="9"/>
        <v>5402.2337601011313</v>
      </c>
    </row>
    <row r="20" spans="1:11" x14ac:dyDescent="0.25">
      <c r="A20" s="111">
        <v>8</v>
      </c>
      <c r="B20" s="112">
        <f t="shared" si="2"/>
        <v>9268.9982093710496</v>
      </c>
      <c r="C20" s="114">
        <f t="shared" si="3"/>
        <v>9.509486029345697E-2</v>
      </c>
      <c r="D20" s="115">
        <f t="shared" si="4"/>
        <v>-881.43408978044283</v>
      </c>
      <c r="E20" s="110">
        <f t="shared" si="5"/>
        <v>0.16934036987423087</v>
      </c>
      <c r="F20" s="110">
        <f t="shared" si="0"/>
        <v>0.18934036987423086</v>
      </c>
      <c r="G20" s="115">
        <f t="shared" si="6"/>
        <v>1754.9955493258981</v>
      </c>
      <c r="H20" s="113">
        <f t="shared" si="7"/>
        <v>873.56145954545525</v>
      </c>
      <c r="I20" s="113">
        <f t="shared" si="8"/>
        <v>6275.7952196465867</v>
      </c>
      <c r="J20" s="115">
        <f t="shared" si="1"/>
        <v>873.56145954545525</v>
      </c>
      <c r="K20" s="113">
        <f t="shared" si="9"/>
        <v>6275.7952196465867</v>
      </c>
    </row>
    <row r="21" spans="1:11" x14ac:dyDescent="0.25">
      <c r="A21" s="111">
        <v>9</v>
      </c>
      <c r="B21" s="112">
        <f t="shared" si="2"/>
        <v>9222.6532183241943</v>
      </c>
      <c r="C21" s="114">
        <f t="shared" si="3"/>
        <v>9.7472231800793382E-2</v>
      </c>
      <c r="D21" s="115">
        <f t="shared" si="4"/>
        <v>-898.95259231482896</v>
      </c>
      <c r="E21" s="110">
        <f t="shared" si="5"/>
        <v>0.17526728281982895</v>
      </c>
      <c r="F21" s="110">
        <f t="shared" si="0"/>
        <v>0.19526728281982894</v>
      </c>
      <c r="G21" s="115">
        <f t="shared" si="6"/>
        <v>1800.882434331716</v>
      </c>
      <c r="H21" s="113">
        <f t="shared" si="7"/>
        <v>901.92984201688705</v>
      </c>
      <c r="I21" s="113">
        <f t="shared" si="8"/>
        <v>7177.7250616634738</v>
      </c>
      <c r="J21" s="115">
        <f t="shared" si="1"/>
        <v>901.92984201688705</v>
      </c>
      <c r="K21" s="113">
        <f t="shared" si="9"/>
        <v>7177.7250616634738</v>
      </c>
    </row>
    <row r="22" spans="1:11" x14ac:dyDescent="0.25">
      <c r="A22" s="100">
        <v>10</v>
      </c>
      <c r="B22" s="101">
        <f t="shared" si="2"/>
        <v>9176.5399522325733</v>
      </c>
      <c r="C22" s="102">
        <f t="shared" si="3"/>
        <v>9.990903759581321E-2</v>
      </c>
      <c r="D22" s="99">
        <f t="shared" si="4"/>
        <v>-916.81927508708611</v>
      </c>
      <c r="E22" s="103">
        <f t="shared" si="5"/>
        <v>0.18140163771852294</v>
      </c>
      <c r="F22" s="103">
        <f t="shared" si="0"/>
        <v>0.20140163771852293</v>
      </c>
      <c r="G22" s="99">
        <f t="shared" si="6"/>
        <v>1848.1701749690965</v>
      </c>
      <c r="H22" s="99">
        <f t="shared" si="7"/>
        <v>931.35089988201037</v>
      </c>
      <c r="I22" s="99">
        <f t="shared" si="8"/>
        <v>8109.0759615454845</v>
      </c>
      <c r="J22" s="99">
        <f t="shared" si="1"/>
        <v>931.35089988201037</v>
      </c>
      <c r="K22" s="99">
        <f t="shared" si="9"/>
        <v>8109.0759615454845</v>
      </c>
    </row>
    <row r="23" spans="1:11" x14ac:dyDescent="0.25">
      <c r="A23" s="111">
        <v>11</v>
      </c>
      <c r="B23" s="112">
        <f t="shared" si="2"/>
        <v>9130.6572524714102</v>
      </c>
      <c r="C23" s="114">
        <f t="shared" si="3"/>
        <v>0.10240676353570853</v>
      </c>
      <c r="D23" s="115">
        <f t="shared" si="4"/>
        <v>-935.04105817944185</v>
      </c>
      <c r="E23" s="110">
        <f t="shared" si="5"/>
        <v>0.18775069503867123</v>
      </c>
      <c r="F23" s="110">
        <f t="shared" si="0"/>
        <v>0.20775069503867122</v>
      </c>
      <c r="G23" s="115">
        <f t="shared" si="6"/>
        <v>1896.9003903608195</v>
      </c>
      <c r="H23" s="113">
        <f t="shared" si="7"/>
        <v>961.85933218137768</v>
      </c>
      <c r="I23" s="113">
        <f t="shared" si="8"/>
        <v>9070.9352937268613</v>
      </c>
      <c r="J23" s="115">
        <f t="shared" si="1"/>
        <v>961.85933218137768</v>
      </c>
      <c r="K23" s="113">
        <f t="shared" si="9"/>
        <v>9070.9352937268613</v>
      </c>
    </row>
    <row r="24" spans="1:11" x14ac:dyDescent="0.25">
      <c r="A24" s="111">
        <v>12</v>
      </c>
      <c r="B24" s="112">
        <f t="shared" si="2"/>
        <v>9085.003966209053</v>
      </c>
      <c r="C24" s="114">
        <f t="shared" si="3"/>
        <v>0.10496693262410124</v>
      </c>
      <c r="D24" s="115">
        <f t="shared" si="4"/>
        <v>-953.62499921075823</v>
      </c>
      <c r="E24" s="110">
        <f t="shared" si="5"/>
        <v>0.19432196936502472</v>
      </c>
      <c r="F24" s="110">
        <f t="shared" si="0"/>
        <v>0.21432196936502471</v>
      </c>
      <c r="G24" s="115">
        <f t="shared" si="6"/>
        <v>1947.1159417269846</v>
      </c>
      <c r="H24" s="113">
        <f t="shared" si="7"/>
        <v>993.49094251622637</v>
      </c>
      <c r="I24" s="113">
        <f t="shared" si="8"/>
        <v>10064.426236243087</v>
      </c>
      <c r="J24" s="115">
        <f t="shared" si="1"/>
        <v>993.49094251622637</v>
      </c>
      <c r="K24" s="113">
        <f t="shared" si="9"/>
        <v>10064.426236243087</v>
      </c>
    </row>
    <row r="25" spans="1:11" x14ac:dyDescent="0.25">
      <c r="A25" s="111">
        <v>13</v>
      </c>
      <c r="B25" s="112">
        <f t="shared" si="2"/>
        <v>9039.5789463780075</v>
      </c>
      <c r="C25" s="114">
        <f t="shared" si="3"/>
        <v>0.10759110593970377</v>
      </c>
      <c r="D25" s="115">
        <f t="shared" si="4"/>
        <v>-972.57829607007193</v>
      </c>
      <c r="E25" s="110">
        <f t="shared" si="5"/>
        <v>0.20112323829280057</v>
      </c>
      <c r="F25" s="110">
        <f t="shared" si="0"/>
        <v>0.22112323829280056</v>
      </c>
      <c r="G25" s="115">
        <f t="shared" si="6"/>
        <v>1998.8609694265272</v>
      </c>
      <c r="H25" s="113">
        <f t="shared" si="7"/>
        <v>1026.2826733564552</v>
      </c>
      <c r="I25" s="113">
        <f t="shared" si="8"/>
        <v>11090.708909599543</v>
      </c>
      <c r="J25" s="115">
        <f t="shared" si="1"/>
        <v>1026.2826733564552</v>
      </c>
      <c r="K25" s="113">
        <f t="shared" si="9"/>
        <v>11090.708909599543</v>
      </c>
    </row>
    <row r="26" spans="1:11" x14ac:dyDescent="0.25">
      <c r="A26" s="111">
        <v>14</v>
      </c>
      <c r="B26" s="112">
        <f t="shared" si="2"/>
        <v>8994.3810516461181</v>
      </c>
      <c r="C26" s="114">
        <f t="shared" si="3"/>
        <v>0.11028088358819635</v>
      </c>
      <c r="D26" s="115">
        <f t="shared" si="4"/>
        <v>-991.90828970446455</v>
      </c>
      <c r="E26" s="110">
        <f t="shared" si="5"/>
        <v>0.20816255163304859</v>
      </c>
      <c r="F26" s="110">
        <f t="shared" si="0"/>
        <v>0.22816255163304858</v>
      </c>
      <c r="G26" s="115">
        <f t="shared" si="6"/>
        <v>2052.1809311035213</v>
      </c>
      <c r="H26" s="113">
        <f t="shared" si="7"/>
        <v>1060.2726413990567</v>
      </c>
      <c r="I26" s="113">
        <f t="shared" si="8"/>
        <v>12150.9815509986</v>
      </c>
      <c r="J26" s="115">
        <f t="shared" si="1"/>
        <v>1060.2726413990567</v>
      </c>
      <c r="K26" s="113">
        <f t="shared" si="9"/>
        <v>12150.9815509986</v>
      </c>
    </row>
    <row r="27" spans="1:11" x14ac:dyDescent="0.25">
      <c r="A27" s="100">
        <v>15</v>
      </c>
      <c r="B27" s="101">
        <f t="shared" si="2"/>
        <v>8949.4091463878867</v>
      </c>
      <c r="C27" s="102">
        <f t="shared" si="3"/>
        <v>0.11303790567790124</v>
      </c>
      <c r="D27" s="99">
        <f t="shared" si="4"/>
        <v>-1011.6224669623406</v>
      </c>
      <c r="E27" s="103">
        <f t="shared" si="5"/>
        <v>0.21544824094020526</v>
      </c>
      <c r="F27" s="103">
        <f t="shared" si="0"/>
        <v>0.23544824094020525</v>
      </c>
      <c r="G27" s="99">
        <f t="shared" si="6"/>
        <v>2107.1226409712117</v>
      </c>
      <c r="H27" s="99">
        <f t="shared" si="7"/>
        <v>1095.500174008871</v>
      </c>
      <c r="I27" s="99">
        <f t="shared" si="8"/>
        <v>13246.48172500747</v>
      </c>
      <c r="J27" s="99">
        <f t="shared" si="1"/>
        <v>1095.500174008871</v>
      </c>
      <c r="K27" s="99">
        <f t="shared" si="9"/>
        <v>13246.48172500747</v>
      </c>
    </row>
    <row r="28" spans="1:11" x14ac:dyDescent="0.25">
      <c r="A28" s="111">
        <v>16</v>
      </c>
      <c r="B28" s="112">
        <f t="shared" si="2"/>
        <v>8904.6621006559471</v>
      </c>
      <c r="C28" s="114">
        <f t="shared" si="3"/>
        <v>0.11586385331984876</v>
      </c>
      <c r="D28" s="115">
        <f t="shared" si="4"/>
        <v>-1031.7284634932171</v>
      </c>
      <c r="E28" s="110">
        <f t="shared" si="5"/>
        <v>0.22298892937311243</v>
      </c>
      <c r="F28" s="110">
        <f t="shared" si="0"/>
        <v>0.24298892937311242</v>
      </c>
      <c r="G28" s="115">
        <f t="shared" si="6"/>
        <v>2163.7343102677187</v>
      </c>
      <c r="H28" s="113">
        <f t="shared" si="7"/>
        <v>1132.0058467745016</v>
      </c>
      <c r="I28" s="113">
        <f t="shared" si="8"/>
        <v>14378.487571781972</v>
      </c>
      <c r="J28" s="115">
        <f t="shared" si="1"/>
        <v>1132.0058467745016</v>
      </c>
      <c r="K28" s="113">
        <f t="shared" si="9"/>
        <v>14378.487571781972</v>
      </c>
    </row>
    <row r="29" spans="1:11" x14ac:dyDescent="0.25">
      <c r="A29" s="111">
        <v>17</v>
      </c>
      <c r="B29" s="112">
        <f t="shared" si="2"/>
        <v>8860.1387901526668</v>
      </c>
      <c r="C29" s="114">
        <f t="shared" si="3"/>
        <v>0.11876044965284498</v>
      </c>
      <c r="D29" s="115">
        <f t="shared" si="4"/>
        <v>-1052.2340667051446</v>
      </c>
      <c r="E29" s="110">
        <f t="shared" si="5"/>
        <v>0.23079354190117135</v>
      </c>
      <c r="F29" s="110">
        <f t="shared" si="0"/>
        <v>0.25079354190117137</v>
      </c>
      <c r="G29" s="115">
        <f t="shared" si="6"/>
        <v>2222.0655889183467</v>
      </c>
      <c r="H29" s="113">
        <f t="shared" si="7"/>
        <v>1169.8315222132021</v>
      </c>
      <c r="I29" s="113">
        <f t="shared" si="8"/>
        <v>15548.319093995175</v>
      </c>
      <c r="J29" s="115">
        <f t="shared" si="1"/>
        <v>1169.8315222132021</v>
      </c>
      <c r="K29" s="113">
        <f t="shared" si="9"/>
        <v>15548.319093995175</v>
      </c>
    </row>
    <row r="30" spans="1:11" x14ac:dyDescent="0.25">
      <c r="A30" s="111">
        <v>18</v>
      </c>
      <c r="B30" s="112">
        <f t="shared" si="2"/>
        <v>8815.8380962019037</v>
      </c>
      <c r="C30" s="114">
        <f t="shared" si="3"/>
        <v>0.12172946089416609</v>
      </c>
      <c r="D30" s="115">
        <f t="shared" si="4"/>
        <v>-1073.1472187809093</v>
      </c>
      <c r="E30" s="110">
        <f t="shared" si="5"/>
        <v>0.23887131586771232</v>
      </c>
      <c r="F30" s="110">
        <f t="shared" si="0"/>
        <v>0.25887131586771234</v>
      </c>
      <c r="G30" s="115">
        <f t="shared" si="6"/>
        <v>2282.1676084404949</v>
      </c>
      <c r="H30" s="113">
        <f t="shared" si="7"/>
        <v>1209.0203896595856</v>
      </c>
      <c r="I30" s="113">
        <f t="shared" si="8"/>
        <v>16757.33948365476</v>
      </c>
      <c r="J30" s="115">
        <f t="shared" si="1"/>
        <v>1209.0203896595856</v>
      </c>
      <c r="K30" s="113">
        <f t="shared" si="9"/>
        <v>16757.33948365476</v>
      </c>
    </row>
    <row r="31" spans="1:11" x14ac:dyDescent="0.25">
      <c r="A31" s="111">
        <v>19</v>
      </c>
      <c r="B31" s="112">
        <f t="shared" si="2"/>
        <v>8771.7589057208934</v>
      </c>
      <c r="C31" s="114">
        <f t="shared" si="3"/>
        <v>0.12477269741652022</v>
      </c>
      <c r="D31" s="115">
        <f t="shared" si="4"/>
        <v>-1094.4760197541796</v>
      </c>
      <c r="E31" s="110">
        <f t="shared" si="5"/>
        <v>0.24723181192308225</v>
      </c>
      <c r="F31" s="110">
        <f t="shared" si="0"/>
        <v>0.26723181192308226</v>
      </c>
      <c r="G31" s="115">
        <f t="shared" si="6"/>
        <v>2344.0930261282278</v>
      </c>
      <c r="H31" s="113">
        <f t="shared" si="7"/>
        <v>1249.6170063740483</v>
      </c>
      <c r="I31" s="113">
        <f t="shared" si="8"/>
        <v>18006.95649002881</v>
      </c>
      <c r="J31" s="115">
        <f t="shared" si="1"/>
        <v>1249.6170063740483</v>
      </c>
      <c r="K31" s="113">
        <f t="shared" si="9"/>
        <v>18006.95649002881</v>
      </c>
    </row>
    <row r="32" spans="1:11" x14ac:dyDescent="0.25">
      <c r="A32" s="100">
        <v>20</v>
      </c>
      <c r="B32" s="101">
        <f t="shared" si="2"/>
        <v>8727.900111192288</v>
      </c>
      <c r="C32" s="102">
        <f t="shared" si="3"/>
        <v>0.12789201485193322</v>
      </c>
      <c r="D32" s="99">
        <f t="shared" si="4"/>
        <v>-1116.2287306467936</v>
      </c>
      <c r="E32" s="103">
        <f t="shared" si="5"/>
        <v>0.25588492534039009</v>
      </c>
      <c r="F32" s="103">
        <f t="shared" si="0"/>
        <v>0.27588492534039011</v>
      </c>
      <c r="G32" s="99">
        <f t="shared" si="6"/>
        <v>2407.8960705546669</v>
      </c>
      <c r="H32" s="99">
        <f t="shared" si="7"/>
        <v>1291.6673399078734</v>
      </c>
      <c r="I32" s="99">
        <f t="shared" si="8"/>
        <v>19298.623829936681</v>
      </c>
      <c r="J32" s="99">
        <f t="shared" si="1"/>
        <v>1291.6673399078734</v>
      </c>
      <c r="K32" s="99">
        <f t="shared" si="9"/>
        <v>19298.623829936681</v>
      </c>
    </row>
    <row r="33" spans="1:11" x14ac:dyDescent="0.25">
      <c r="A33" s="111">
        <v>21</v>
      </c>
      <c r="B33" s="112">
        <f t="shared" si="2"/>
        <v>8684.2606106363273</v>
      </c>
      <c r="C33" s="114">
        <f t="shared" si="3"/>
        <v>0.13108931522323153</v>
      </c>
      <c r="D33" s="115">
        <f t="shared" si="4"/>
        <v>-1138.4137766683987</v>
      </c>
      <c r="E33" s="110">
        <f t="shared" si="5"/>
        <v>0.26484089772730374</v>
      </c>
      <c r="F33" s="110">
        <f t="shared" si="0"/>
        <v>0.28484089772730375</v>
      </c>
      <c r="G33" s="115">
        <f t="shared" si="6"/>
        <v>2473.6325884315147</v>
      </c>
      <c r="H33" s="113">
        <f t="shared" si="7"/>
        <v>1335.218811763116</v>
      </c>
      <c r="I33" s="113">
        <f t="shared" si="8"/>
        <v>20633.842641699797</v>
      </c>
      <c r="J33" s="115">
        <f t="shared" si="1"/>
        <v>1335.218811763116</v>
      </c>
      <c r="K33" s="113">
        <f t="shared" si="9"/>
        <v>20633.842641699797</v>
      </c>
    </row>
    <row r="34" spans="1:11" x14ac:dyDescent="0.25">
      <c r="A34" s="111">
        <v>22</v>
      </c>
      <c r="B34" s="112">
        <f t="shared" si="2"/>
        <v>8640.8393075831464</v>
      </c>
      <c r="C34" s="114">
        <f t="shared" si="3"/>
        <v>0.13436654810381229</v>
      </c>
      <c r="D34" s="115">
        <f t="shared" si="4"/>
        <v>-1161.0397504796829</v>
      </c>
      <c r="E34" s="110">
        <f t="shared" si="5"/>
        <v>0.27411032914775935</v>
      </c>
      <c r="F34" s="110">
        <f t="shared" si="0"/>
        <v>0.29411032914775936</v>
      </c>
      <c r="G34" s="115">
        <f t="shared" si="6"/>
        <v>2541.3600928661763</v>
      </c>
      <c r="H34" s="113">
        <f t="shared" si="7"/>
        <v>1380.3203423864934</v>
      </c>
      <c r="I34" s="113">
        <f t="shared" si="8"/>
        <v>22014.162984086292</v>
      </c>
      <c r="J34" s="115">
        <f t="shared" si="1"/>
        <v>1380.3203423864934</v>
      </c>
      <c r="K34" s="113">
        <f t="shared" si="9"/>
        <v>22014.162984086292</v>
      </c>
    </row>
    <row r="35" spans="1:11" x14ac:dyDescent="0.25">
      <c r="A35" s="111">
        <v>23</v>
      </c>
      <c r="B35" s="112">
        <f t="shared" si="2"/>
        <v>8597.6351110452306</v>
      </c>
      <c r="C35" s="114">
        <f t="shared" si="3"/>
        <v>0.13772571180640758</v>
      </c>
      <c r="D35" s="115">
        <f t="shared" si="4"/>
        <v>-1184.1154155204665</v>
      </c>
      <c r="E35" s="110">
        <f t="shared" si="5"/>
        <v>0.2837041906679309</v>
      </c>
      <c r="F35" s="110">
        <f t="shared" si="0"/>
        <v>0.30370419066793092</v>
      </c>
      <c r="G35" s="115">
        <f t="shared" si="6"/>
        <v>2611.1378130581779</v>
      </c>
      <c r="H35" s="113">
        <f t="shared" si="7"/>
        <v>1427.0223975377114</v>
      </c>
      <c r="I35" s="113">
        <f t="shared" si="8"/>
        <v>23441.185381624004</v>
      </c>
      <c r="J35" s="115">
        <f t="shared" si="1"/>
        <v>1427.0223975377114</v>
      </c>
      <c r="K35" s="113">
        <f t="shared" si="9"/>
        <v>23441.185381624004</v>
      </c>
    </row>
    <row r="36" spans="1:11" x14ac:dyDescent="0.25">
      <c r="A36" s="111">
        <v>24</v>
      </c>
      <c r="B36" s="112">
        <f t="shared" si="2"/>
        <v>8554.6469354900037</v>
      </c>
      <c r="C36" s="114">
        <f t="shared" si="3"/>
        <v>0.14116885460156775</v>
      </c>
      <c r="D36" s="115">
        <f t="shared" si="4"/>
        <v>-1207.6497094039355</v>
      </c>
      <c r="E36" s="110">
        <f t="shared" si="5"/>
        <v>0.29363383734130843</v>
      </c>
      <c r="F36" s="110">
        <f t="shared" si="0"/>
        <v>0.31363383734130845</v>
      </c>
      <c r="G36" s="115">
        <f t="shared" si="6"/>
        <v>2683.0267454777945</v>
      </c>
      <c r="H36" s="113">
        <f t="shared" si="7"/>
        <v>1475.377036073859</v>
      </c>
      <c r="I36" s="113">
        <f t="shared" si="8"/>
        <v>24916.562417697864</v>
      </c>
      <c r="J36" s="115">
        <f t="shared" si="1"/>
        <v>1475.377036073859</v>
      </c>
      <c r="K36" s="113">
        <f t="shared" si="9"/>
        <v>24916.562417697864</v>
      </c>
    </row>
    <row r="37" spans="1:11" x14ac:dyDescent="0.25">
      <c r="A37" s="100">
        <v>25</v>
      </c>
      <c r="B37" s="101">
        <f t="shared" si="2"/>
        <v>8511.8737008125536</v>
      </c>
      <c r="C37" s="102">
        <f t="shared" si="3"/>
        <v>0.14469807596660694</v>
      </c>
      <c r="D37" s="99">
        <f t="shared" si="4"/>
        <v>-1231.6517473783385</v>
      </c>
      <c r="E37" s="103">
        <f t="shared" si="5"/>
        <v>0.30391102164825423</v>
      </c>
      <c r="F37" s="103">
        <f t="shared" si="0"/>
        <v>0.32391102164825425</v>
      </c>
      <c r="G37" s="99">
        <f t="shared" si="6"/>
        <v>2757.089706571101</v>
      </c>
      <c r="H37" s="99">
        <f t="shared" si="7"/>
        <v>1525.4379591927625</v>
      </c>
      <c r="I37" s="99">
        <f t="shared" si="8"/>
        <v>26442.000376890624</v>
      </c>
      <c r="J37" s="99">
        <f t="shared" si="1"/>
        <v>1525.4379591927625</v>
      </c>
      <c r="K37" s="99">
        <f t="shared" si="9"/>
        <v>26442.000376890624</v>
      </c>
    </row>
  </sheetData>
  <mergeCells count="18">
    <mergeCell ref="A2:D2"/>
    <mergeCell ref="E2:J2"/>
    <mergeCell ref="A3:C3"/>
    <mergeCell ref="E3:J3"/>
    <mergeCell ref="A4:C4"/>
    <mergeCell ref="E4:J4"/>
    <mergeCell ref="A5:C5"/>
    <mergeCell ref="E5:J5"/>
    <mergeCell ref="A6:C6"/>
    <mergeCell ref="E6:J6"/>
    <mergeCell ref="A7:C7"/>
    <mergeCell ref="E7:J7"/>
    <mergeCell ref="A8:C8"/>
    <mergeCell ref="E8:J8"/>
    <mergeCell ref="A9:C9"/>
    <mergeCell ref="E9:J9"/>
    <mergeCell ref="A10:C10"/>
    <mergeCell ref="E10:J1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
  <sheetViews>
    <sheetView workbookViewId="0">
      <selection activeCell="L1" sqref="L1:AA1048576"/>
    </sheetView>
  </sheetViews>
  <sheetFormatPr defaultColWidth="8.85546875" defaultRowHeight="15" x14ac:dyDescent="0.25"/>
  <cols>
    <col min="1" max="11" width="12.5703125" style="106" customWidth="1"/>
    <col min="12" max="27" width="8.85546875" style="168"/>
    <col min="28" max="16384" width="8.85546875" style="106"/>
  </cols>
  <sheetData>
    <row r="1" spans="1:11" ht="21" x14ac:dyDescent="0.25">
      <c r="A1" s="94" t="s">
        <v>74</v>
      </c>
      <c r="B1" s="95" t="s">
        <v>132</v>
      </c>
      <c r="C1" s="96"/>
      <c r="D1" s="96"/>
      <c r="E1" s="96"/>
      <c r="F1" s="96"/>
      <c r="G1" s="96"/>
      <c r="H1" s="96"/>
      <c r="I1" s="96"/>
      <c r="J1" s="97"/>
      <c r="K1" s="128"/>
    </row>
    <row r="2" spans="1:11" x14ac:dyDescent="0.25">
      <c r="A2" s="210" t="s">
        <v>75</v>
      </c>
      <c r="B2" s="210"/>
      <c r="C2" s="210"/>
      <c r="D2" s="210"/>
      <c r="E2" s="211" t="s">
        <v>54</v>
      </c>
      <c r="F2" s="211"/>
      <c r="G2" s="211"/>
      <c r="H2" s="211"/>
      <c r="I2" s="211"/>
      <c r="J2" s="211"/>
      <c r="K2" s="129"/>
    </row>
    <row r="3" spans="1:11" ht="28.15" customHeight="1" x14ac:dyDescent="0.25">
      <c r="A3" s="212" t="s">
        <v>76</v>
      </c>
      <c r="B3" s="213"/>
      <c r="C3" s="214"/>
      <c r="D3" s="137">
        <f>'Xcel CSG Calculator'!H7</f>
        <v>9600</v>
      </c>
      <c r="E3" s="215"/>
      <c r="F3" s="215"/>
      <c r="G3" s="215"/>
      <c r="H3" s="215"/>
      <c r="I3" s="215"/>
      <c r="J3" s="215"/>
      <c r="K3" s="126"/>
    </row>
    <row r="4" spans="1:11" x14ac:dyDescent="0.25">
      <c r="A4" s="216" t="s">
        <v>77</v>
      </c>
      <c r="B4" s="216"/>
      <c r="C4" s="216"/>
      <c r="D4" s="132">
        <f>'Xcel CSG Calculator'!F22</f>
        <v>0.115</v>
      </c>
      <c r="E4" s="217" t="s">
        <v>78</v>
      </c>
      <c r="F4" s="217"/>
      <c r="G4" s="217"/>
      <c r="H4" s="217"/>
      <c r="I4" s="217"/>
      <c r="J4" s="217"/>
      <c r="K4" s="126"/>
    </row>
    <row r="5" spans="1:11" x14ac:dyDescent="0.25">
      <c r="A5" s="216" t="s">
        <v>79</v>
      </c>
      <c r="B5" s="216"/>
      <c r="C5" s="216"/>
      <c r="D5" s="136">
        <f>'Xcel CSG Calculator'!H8</f>
        <v>0.1331</v>
      </c>
      <c r="E5" s="217" t="s">
        <v>80</v>
      </c>
      <c r="F5" s="217"/>
      <c r="G5" s="217"/>
      <c r="H5" s="217"/>
      <c r="I5" s="217"/>
      <c r="J5" s="217"/>
      <c r="K5" s="126"/>
    </row>
    <row r="6" spans="1:11" x14ac:dyDescent="0.25">
      <c r="A6" s="216" t="s">
        <v>81</v>
      </c>
      <c r="B6" s="216"/>
      <c r="C6" s="216"/>
      <c r="D6" s="133">
        <f>'Xcel CSG Calculator'!H9</f>
        <v>0.02</v>
      </c>
      <c r="E6" s="217" t="s">
        <v>82</v>
      </c>
      <c r="F6" s="217"/>
      <c r="G6" s="217"/>
      <c r="H6" s="217"/>
      <c r="I6" s="217"/>
      <c r="J6" s="217"/>
      <c r="K6" s="126"/>
    </row>
    <row r="7" spans="1:11" x14ac:dyDescent="0.25">
      <c r="A7" s="216" t="s">
        <v>83</v>
      </c>
      <c r="B7" s="216"/>
      <c r="C7" s="216"/>
      <c r="D7" s="98">
        <f>'Xcel CSG Calculator'!G22</f>
        <v>0</v>
      </c>
      <c r="E7" s="217" t="s">
        <v>84</v>
      </c>
      <c r="F7" s="217"/>
      <c r="G7" s="217"/>
      <c r="H7" s="217"/>
      <c r="I7" s="217"/>
      <c r="J7" s="217"/>
      <c r="K7" s="126"/>
    </row>
    <row r="8" spans="1:11" x14ac:dyDescent="0.25">
      <c r="A8" s="216" t="s">
        <v>85</v>
      </c>
      <c r="B8" s="216"/>
      <c r="C8" s="216"/>
      <c r="D8" s="131">
        <v>5.0000000000000001E-3</v>
      </c>
      <c r="E8" s="217" t="s">
        <v>86</v>
      </c>
      <c r="F8" s="217"/>
      <c r="G8" s="217"/>
      <c r="H8" s="217"/>
      <c r="I8" s="217"/>
      <c r="J8" s="217"/>
      <c r="K8" s="126"/>
    </row>
    <row r="9" spans="1:11" x14ac:dyDescent="0.25">
      <c r="A9" s="216" t="s">
        <v>87</v>
      </c>
      <c r="B9" s="216"/>
      <c r="C9" s="216"/>
      <c r="D9" s="131">
        <f>'Xcel CSG Calculator'!H10</f>
        <v>3.5000000000000003E-2</v>
      </c>
      <c r="E9" s="217" t="s">
        <v>88</v>
      </c>
      <c r="F9" s="217"/>
      <c r="G9" s="217"/>
      <c r="H9" s="217"/>
      <c r="I9" s="217"/>
      <c r="J9" s="217"/>
      <c r="K9" s="126"/>
    </row>
    <row r="10" spans="1:11" x14ac:dyDescent="0.25">
      <c r="A10" s="216" t="s">
        <v>18</v>
      </c>
      <c r="B10" s="216"/>
      <c r="C10" s="216"/>
      <c r="D10" s="131">
        <f>'Xcel CSG Calculator'!H11</f>
        <v>0</v>
      </c>
      <c r="E10" s="217" t="s">
        <v>89</v>
      </c>
      <c r="F10" s="217"/>
      <c r="G10" s="217"/>
      <c r="H10" s="217"/>
      <c r="I10" s="217"/>
      <c r="J10" s="217"/>
      <c r="K10" s="126"/>
    </row>
    <row r="11" spans="1:11" x14ac:dyDescent="0.25">
      <c r="A11" s="124"/>
      <c r="B11" s="124"/>
      <c r="C11" s="124"/>
      <c r="D11" s="125"/>
      <c r="E11" s="125"/>
      <c r="F11" s="125"/>
      <c r="G11" s="125"/>
      <c r="H11" s="125"/>
      <c r="I11" s="125"/>
      <c r="J11" s="125"/>
      <c r="K11" s="126"/>
    </row>
    <row r="12" spans="1:11" ht="60" x14ac:dyDescent="0.25">
      <c r="A12" s="109" t="s">
        <v>90</v>
      </c>
      <c r="B12" s="109" t="s">
        <v>91</v>
      </c>
      <c r="C12" s="109" t="s">
        <v>92</v>
      </c>
      <c r="D12" s="116" t="s">
        <v>93</v>
      </c>
      <c r="E12" s="109" t="s">
        <v>94</v>
      </c>
      <c r="F12" s="109" t="s">
        <v>95</v>
      </c>
      <c r="G12" s="116" t="s">
        <v>96</v>
      </c>
      <c r="H12" s="109" t="s">
        <v>97</v>
      </c>
      <c r="I12" s="109" t="s">
        <v>98</v>
      </c>
      <c r="J12" s="116" t="s">
        <v>99</v>
      </c>
      <c r="K12" s="109" t="s">
        <v>100</v>
      </c>
    </row>
    <row r="13" spans="1:11" x14ac:dyDescent="0.25">
      <c r="A13" s="111">
        <v>1</v>
      </c>
      <c r="B13" s="112">
        <f>$D$3</f>
        <v>9600</v>
      </c>
      <c r="C13" s="114">
        <f>D4</f>
        <v>0.115</v>
      </c>
      <c r="D13" s="115">
        <f>B13*C13*-1</f>
        <v>-1104</v>
      </c>
      <c r="E13" s="110">
        <f>D5</f>
        <v>0.1331</v>
      </c>
      <c r="F13" s="110">
        <f t="shared" ref="F13:F37" si="0">E13+$D$6</f>
        <v>0.15309999999999999</v>
      </c>
      <c r="G13" s="115">
        <f>B13*F13</f>
        <v>1469.7599999999998</v>
      </c>
      <c r="H13" s="113">
        <f>D13+G13</f>
        <v>365.75999999999976</v>
      </c>
      <c r="I13" s="113">
        <f>H13</f>
        <v>365.75999999999976</v>
      </c>
      <c r="J13" s="115">
        <f t="shared" ref="J13:J37" si="1">H13/(1+$D$10)^($A13-1)</f>
        <v>365.75999999999976</v>
      </c>
      <c r="K13" s="113">
        <f>J13</f>
        <v>365.75999999999976</v>
      </c>
    </row>
    <row r="14" spans="1:11" x14ac:dyDescent="0.25">
      <c r="A14" s="111">
        <v>2</v>
      </c>
      <c r="B14" s="112">
        <f t="shared" ref="B14:B37" si="2">B13*(1-$D$8)</f>
        <v>9552</v>
      </c>
      <c r="C14" s="114">
        <f t="shared" ref="C14:C37" si="3">C13*(1+$D$7)</f>
        <v>0.115</v>
      </c>
      <c r="D14" s="115">
        <f t="shared" ref="D14:D37" si="4">B14*C14*-1</f>
        <v>-1098.48</v>
      </c>
      <c r="E14" s="110">
        <f t="shared" ref="E14:E37" si="5">E13*(1+$D$9)</f>
        <v>0.13775849999999998</v>
      </c>
      <c r="F14" s="110">
        <f t="shared" si="0"/>
        <v>0.15775849999999997</v>
      </c>
      <c r="G14" s="115">
        <f t="shared" ref="G14:G37" si="6">B14*F14</f>
        <v>1506.9091919999996</v>
      </c>
      <c r="H14" s="113">
        <f t="shared" ref="H14:H37" si="7">D14+G14</f>
        <v>408.4291919999996</v>
      </c>
      <c r="I14" s="113">
        <f t="shared" ref="I14:I37" si="8">I13+H14</f>
        <v>774.18919199999937</v>
      </c>
      <c r="J14" s="115">
        <f t="shared" si="1"/>
        <v>408.4291919999996</v>
      </c>
      <c r="K14" s="113">
        <f>J14+K13</f>
        <v>774.18919199999937</v>
      </c>
    </row>
    <row r="15" spans="1:11" x14ac:dyDescent="0.25">
      <c r="A15" s="111">
        <v>3</v>
      </c>
      <c r="B15" s="112">
        <f t="shared" si="2"/>
        <v>9504.24</v>
      </c>
      <c r="C15" s="114">
        <f t="shared" si="3"/>
        <v>0.115</v>
      </c>
      <c r="D15" s="115">
        <f t="shared" si="4"/>
        <v>-1092.9875999999999</v>
      </c>
      <c r="E15" s="110">
        <f t="shared" si="5"/>
        <v>0.14258004749999997</v>
      </c>
      <c r="F15" s="110">
        <f t="shared" si="0"/>
        <v>0.16258004749999996</v>
      </c>
      <c r="G15" s="115">
        <f t="shared" si="6"/>
        <v>1545.1997906513996</v>
      </c>
      <c r="H15" s="113">
        <f t="shared" si="7"/>
        <v>452.21219065139962</v>
      </c>
      <c r="I15" s="113">
        <f t="shared" si="8"/>
        <v>1226.401382651399</v>
      </c>
      <c r="J15" s="115">
        <f t="shared" si="1"/>
        <v>452.21219065139962</v>
      </c>
      <c r="K15" s="113">
        <f t="shared" ref="K15:K37" si="9">J15+K14</f>
        <v>1226.401382651399</v>
      </c>
    </row>
    <row r="16" spans="1:11" x14ac:dyDescent="0.25">
      <c r="A16" s="111">
        <v>4</v>
      </c>
      <c r="B16" s="112">
        <f t="shared" si="2"/>
        <v>9456.7188000000006</v>
      </c>
      <c r="C16" s="114">
        <f t="shared" si="3"/>
        <v>0.115</v>
      </c>
      <c r="D16" s="115">
        <f t="shared" si="4"/>
        <v>-1087.5226620000001</v>
      </c>
      <c r="E16" s="110">
        <f t="shared" si="5"/>
        <v>0.14757034916249995</v>
      </c>
      <c r="F16" s="110">
        <f t="shared" si="0"/>
        <v>0.16757034916249994</v>
      </c>
      <c r="G16" s="115">
        <f t="shared" si="6"/>
        <v>1584.6656712475776</v>
      </c>
      <c r="H16" s="113">
        <f t="shared" si="7"/>
        <v>497.14300924757754</v>
      </c>
      <c r="I16" s="113">
        <f t="shared" si="8"/>
        <v>1723.5443918989765</v>
      </c>
      <c r="J16" s="115">
        <f t="shared" si="1"/>
        <v>497.14300924757754</v>
      </c>
      <c r="K16" s="113">
        <f t="shared" si="9"/>
        <v>1723.5443918989765</v>
      </c>
    </row>
    <row r="17" spans="1:11" x14ac:dyDescent="0.25">
      <c r="A17" s="100">
        <v>5</v>
      </c>
      <c r="B17" s="101">
        <f t="shared" si="2"/>
        <v>9409.4352060000001</v>
      </c>
      <c r="C17" s="102">
        <f t="shared" si="3"/>
        <v>0.115</v>
      </c>
      <c r="D17" s="99">
        <f t="shared" si="4"/>
        <v>-1082.0850486900001</v>
      </c>
      <c r="E17" s="103">
        <f t="shared" si="5"/>
        <v>0.15273531138318744</v>
      </c>
      <c r="F17" s="103">
        <f t="shared" si="0"/>
        <v>0.17273531138318743</v>
      </c>
      <c r="G17" s="99">
        <f t="shared" si="6"/>
        <v>1625.3417202483363</v>
      </c>
      <c r="H17" s="99">
        <f t="shared" si="7"/>
        <v>543.25667155833617</v>
      </c>
      <c r="I17" s="99">
        <f t="shared" si="8"/>
        <v>2266.8010634573129</v>
      </c>
      <c r="J17" s="99">
        <f t="shared" si="1"/>
        <v>543.25667155833617</v>
      </c>
      <c r="K17" s="99">
        <f t="shared" si="9"/>
        <v>2266.8010634573129</v>
      </c>
    </row>
    <row r="18" spans="1:11" x14ac:dyDescent="0.25">
      <c r="A18" s="111">
        <v>6</v>
      </c>
      <c r="B18" s="112">
        <f t="shared" si="2"/>
        <v>9362.3880299699995</v>
      </c>
      <c r="C18" s="114">
        <f t="shared" si="3"/>
        <v>0.115</v>
      </c>
      <c r="D18" s="115">
        <f t="shared" si="4"/>
        <v>-1076.67462344655</v>
      </c>
      <c r="E18" s="110">
        <f t="shared" si="5"/>
        <v>0.158081047281599</v>
      </c>
      <c r="F18" s="110">
        <f t="shared" si="0"/>
        <v>0.17808104728159899</v>
      </c>
      <c r="G18" s="115">
        <f t="shared" si="6"/>
        <v>1667.2638654337638</v>
      </c>
      <c r="H18" s="113">
        <f t="shared" si="7"/>
        <v>590.58924198721388</v>
      </c>
      <c r="I18" s="113">
        <f t="shared" si="8"/>
        <v>2857.3903054445268</v>
      </c>
      <c r="J18" s="115">
        <f t="shared" si="1"/>
        <v>590.58924198721388</v>
      </c>
      <c r="K18" s="113">
        <f t="shared" si="9"/>
        <v>2857.3903054445268</v>
      </c>
    </row>
    <row r="19" spans="1:11" x14ac:dyDescent="0.25">
      <c r="A19" s="111">
        <v>7</v>
      </c>
      <c r="B19" s="112">
        <f t="shared" si="2"/>
        <v>9315.5760898201497</v>
      </c>
      <c r="C19" s="114">
        <f t="shared" si="3"/>
        <v>0.115</v>
      </c>
      <c r="D19" s="115">
        <f t="shared" si="4"/>
        <v>-1071.2912503293173</v>
      </c>
      <c r="E19" s="110">
        <f t="shared" si="5"/>
        <v>0.16361388393645496</v>
      </c>
      <c r="F19" s="110">
        <f t="shared" si="0"/>
        <v>0.18361388393645495</v>
      </c>
      <c r="G19" s="115">
        <f t="shared" si="6"/>
        <v>1710.4691069574517</v>
      </c>
      <c r="H19" s="113">
        <f t="shared" si="7"/>
        <v>639.17785662813435</v>
      </c>
      <c r="I19" s="113">
        <f t="shared" si="8"/>
        <v>3496.5681620726609</v>
      </c>
      <c r="J19" s="115">
        <f t="shared" si="1"/>
        <v>639.17785662813435</v>
      </c>
      <c r="K19" s="113">
        <f t="shared" si="9"/>
        <v>3496.5681620726609</v>
      </c>
    </row>
    <row r="20" spans="1:11" x14ac:dyDescent="0.25">
      <c r="A20" s="111">
        <v>8</v>
      </c>
      <c r="B20" s="112">
        <f t="shared" si="2"/>
        <v>9268.9982093710496</v>
      </c>
      <c r="C20" s="114">
        <f t="shared" si="3"/>
        <v>0.115</v>
      </c>
      <c r="D20" s="115">
        <f t="shared" si="4"/>
        <v>-1065.9347940776709</v>
      </c>
      <c r="E20" s="110">
        <f t="shared" si="5"/>
        <v>0.16934036987423087</v>
      </c>
      <c r="F20" s="110">
        <f t="shared" si="0"/>
        <v>0.18934036987423086</v>
      </c>
      <c r="G20" s="115">
        <f t="shared" si="6"/>
        <v>1754.9955493258981</v>
      </c>
      <c r="H20" s="113">
        <f t="shared" si="7"/>
        <v>689.06075524822722</v>
      </c>
      <c r="I20" s="113">
        <f t="shared" si="8"/>
        <v>4185.6289173208879</v>
      </c>
      <c r="J20" s="115">
        <f t="shared" si="1"/>
        <v>689.06075524822722</v>
      </c>
      <c r="K20" s="113">
        <f t="shared" si="9"/>
        <v>4185.6289173208879</v>
      </c>
    </row>
    <row r="21" spans="1:11" x14ac:dyDescent="0.25">
      <c r="A21" s="111">
        <v>9</v>
      </c>
      <c r="B21" s="112">
        <f t="shared" si="2"/>
        <v>9222.6532183241943</v>
      </c>
      <c r="C21" s="114">
        <f t="shared" si="3"/>
        <v>0.115</v>
      </c>
      <c r="D21" s="115">
        <f t="shared" si="4"/>
        <v>-1060.6051201072823</v>
      </c>
      <c r="E21" s="110">
        <f t="shared" si="5"/>
        <v>0.17526728281982895</v>
      </c>
      <c r="F21" s="110">
        <f t="shared" si="0"/>
        <v>0.19526728281982894</v>
      </c>
      <c r="G21" s="115">
        <f t="shared" si="6"/>
        <v>1800.882434331716</v>
      </c>
      <c r="H21" s="113">
        <f t="shared" si="7"/>
        <v>740.27731422443367</v>
      </c>
      <c r="I21" s="113">
        <f t="shared" si="8"/>
        <v>4925.9062315453211</v>
      </c>
      <c r="J21" s="115">
        <f t="shared" si="1"/>
        <v>740.27731422443367</v>
      </c>
      <c r="K21" s="113">
        <f t="shared" si="9"/>
        <v>4925.9062315453211</v>
      </c>
    </row>
    <row r="22" spans="1:11" x14ac:dyDescent="0.25">
      <c r="A22" s="100">
        <v>10</v>
      </c>
      <c r="B22" s="101">
        <f t="shared" si="2"/>
        <v>9176.5399522325733</v>
      </c>
      <c r="C22" s="102">
        <f t="shared" si="3"/>
        <v>0.115</v>
      </c>
      <c r="D22" s="99">
        <f t="shared" si="4"/>
        <v>-1055.302094506746</v>
      </c>
      <c r="E22" s="103">
        <f t="shared" si="5"/>
        <v>0.18140163771852294</v>
      </c>
      <c r="F22" s="103">
        <f t="shared" si="0"/>
        <v>0.20140163771852293</v>
      </c>
      <c r="G22" s="99">
        <f t="shared" si="6"/>
        <v>1848.1701749690965</v>
      </c>
      <c r="H22" s="99">
        <f t="shared" si="7"/>
        <v>792.86808046235046</v>
      </c>
      <c r="I22" s="99">
        <f t="shared" si="8"/>
        <v>5718.7743120076721</v>
      </c>
      <c r="J22" s="99">
        <f t="shared" si="1"/>
        <v>792.86808046235046</v>
      </c>
      <c r="K22" s="99">
        <f t="shared" si="9"/>
        <v>5718.7743120076721</v>
      </c>
    </row>
    <row r="23" spans="1:11" x14ac:dyDescent="0.25">
      <c r="A23" s="111">
        <v>11</v>
      </c>
      <c r="B23" s="112">
        <f t="shared" si="2"/>
        <v>9130.6572524714102</v>
      </c>
      <c r="C23" s="114">
        <f t="shared" si="3"/>
        <v>0.115</v>
      </c>
      <c r="D23" s="115">
        <f t="shared" si="4"/>
        <v>-1050.0255840342122</v>
      </c>
      <c r="E23" s="110">
        <f t="shared" si="5"/>
        <v>0.18775069503867123</v>
      </c>
      <c r="F23" s="110">
        <f t="shared" si="0"/>
        <v>0.20775069503867122</v>
      </c>
      <c r="G23" s="115">
        <f t="shared" si="6"/>
        <v>1896.9003903608195</v>
      </c>
      <c r="H23" s="113">
        <f t="shared" si="7"/>
        <v>846.87480632660731</v>
      </c>
      <c r="I23" s="113">
        <f t="shared" si="8"/>
        <v>6565.6491183342796</v>
      </c>
      <c r="J23" s="115">
        <f t="shared" si="1"/>
        <v>846.87480632660731</v>
      </c>
      <c r="K23" s="113">
        <f t="shared" si="9"/>
        <v>6565.6491183342796</v>
      </c>
    </row>
    <row r="24" spans="1:11" x14ac:dyDescent="0.25">
      <c r="A24" s="111">
        <v>12</v>
      </c>
      <c r="B24" s="112">
        <f t="shared" si="2"/>
        <v>9085.003966209053</v>
      </c>
      <c r="C24" s="114">
        <f t="shared" si="3"/>
        <v>0.115</v>
      </c>
      <c r="D24" s="115">
        <f t="shared" si="4"/>
        <v>-1044.7754561140412</v>
      </c>
      <c r="E24" s="110">
        <f t="shared" si="5"/>
        <v>0.19432196936502472</v>
      </c>
      <c r="F24" s="110">
        <f t="shared" si="0"/>
        <v>0.21432196936502471</v>
      </c>
      <c r="G24" s="115">
        <f t="shared" si="6"/>
        <v>1947.1159417269846</v>
      </c>
      <c r="H24" s="113">
        <f t="shared" si="7"/>
        <v>902.34048561294344</v>
      </c>
      <c r="I24" s="113">
        <f t="shared" si="8"/>
        <v>7467.9896039472233</v>
      </c>
      <c r="J24" s="115">
        <f t="shared" si="1"/>
        <v>902.34048561294344</v>
      </c>
      <c r="K24" s="113">
        <f t="shared" si="9"/>
        <v>7467.9896039472233</v>
      </c>
    </row>
    <row r="25" spans="1:11" x14ac:dyDescent="0.25">
      <c r="A25" s="111">
        <v>13</v>
      </c>
      <c r="B25" s="112">
        <f t="shared" si="2"/>
        <v>9039.5789463780075</v>
      </c>
      <c r="C25" s="114">
        <f t="shared" si="3"/>
        <v>0.115</v>
      </c>
      <c r="D25" s="115">
        <f t="shared" si="4"/>
        <v>-1039.551578833471</v>
      </c>
      <c r="E25" s="110">
        <f t="shared" si="5"/>
        <v>0.20112323829280057</v>
      </c>
      <c r="F25" s="110">
        <f t="shared" si="0"/>
        <v>0.22112323829280056</v>
      </c>
      <c r="G25" s="115">
        <f t="shared" si="6"/>
        <v>1998.8609694265272</v>
      </c>
      <c r="H25" s="113">
        <f t="shared" si="7"/>
        <v>959.30939059305615</v>
      </c>
      <c r="I25" s="113">
        <f t="shared" si="8"/>
        <v>8427.2989945402787</v>
      </c>
      <c r="J25" s="115">
        <f t="shared" si="1"/>
        <v>959.30939059305615</v>
      </c>
      <c r="K25" s="113">
        <f t="shared" si="9"/>
        <v>8427.2989945402787</v>
      </c>
    </row>
    <row r="26" spans="1:11" x14ac:dyDescent="0.25">
      <c r="A26" s="111">
        <v>14</v>
      </c>
      <c r="B26" s="112">
        <f t="shared" si="2"/>
        <v>8994.3810516461181</v>
      </c>
      <c r="C26" s="114">
        <f t="shared" si="3"/>
        <v>0.115</v>
      </c>
      <c r="D26" s="115">
        <f t="shared" si="4"/>
        <v>-1034.3538209393037</v>
      </c>
      <c r="E26" s="110">
        <f t="shared" si="5"/>
        <v>0.20816255163304859</v>
      </c>
      <c r="F26" s="110">
        <f t="shared" si="0"/>
        <v>0.22816255163304858</v>
      </c>
      <c r="G26" s="115">
        <f t="shared" si="6"/>
        <v>2052.1809311035213</v>
      </c>
      <c r="H26" s="113">
        <f t="shared" si="7"/>
        <v>1017.8271101642176</v>
      </c>
      <c r="I26" s="113">
        <f t="shared" si="8"/>
        <v>9445.1261047044973</v>
      </c>
      <c r="J26" s="115">
        <f t="shared" si="1"/>
        <v>1017.8271101642176</v>
      </c>
      <c r="K26" s="113">
        <f t="shared" si="9"/>
        <v>9445.1261047044973</v>
      </c>
    </row>
    <row r="27" spans="1:11" x14ac:dyDescent="0.25">
      <c r="A27" s="100">
        <v>15</v>
      </c>
      <c r="B27" s="101">
        <f t="shared" si="2"/>
        <v>8949.4091463878867</v>
      </c>
      <c r="C27" s="102">
        <f t="shared" si="3"/>
        <v>0.115</v>
      </c>
      <c r="D27" s="99">
        <f t="shared" si="4"/>
        <v>-1029.1820518346069</v>
      </c>
      <c r="E27" s="103">
        <f t="shared" si="5"/>
        <v>0.21544824094020526</v>
      </c>
      <c r="F27" s="103">
        <f t="shared" si="0"/>
        <v>0.23544824094020525</v>
      </c>
      <c r="G27" s="99">
        <f t="shared" si="6"/>
        <v>2107.1226409712117</v>
      </c>
      <c r="H27" s="99">
        <f t="shared" si="7"/>
        <v>1077.9405891366048</v>
      </c>
      <c r="I27" s="99">
        <f t="shared" si="8"/>
        <v>10523.066693841101</v>
      </c>
      <c r="J27" s="99">
        <f t="shared" si="1"/>
        <v>1077.9405891366048</v>
      </c>
      <c r="K27" s="99">
        <f t="shared" si="9"/>
        <v>10523.066693841101</v>
      </c>
    </row>
    <row r="28" spans="1:11" x14ac:dyDescent="0.25">
      <c r="A28" s="111">
        <v>16</v>
      </c>
      <c r="B28" s="112">
        <f t="shared" si="2"/>
        <v>8904.6621006559471</v>
      </c>
      <c r="C28" s="114">
        <f t="shared" si="3"/>
        <v>0.115</v>
      </c>
      <c r="D28" s="115">
        <f t="shared" si="4"/>
        <v>-1024.0361415754339</v>
      </c>
      <c r="E28" s="110">
        <f t="shared" si="5"/>
        <v>0.22298892937311243</v>
      </c>
      <c r="F28" s="110">
        <f t="shared" si="0"/>
        <v>0.24298892937311242</v>
      </c>
      <c r="G28" s="115">
        <f t="shared" si="6"/>
        <v>2163.7343102677187</v>
      </c>
      <c r="H28" s="113">
        <f t="shared" si="7"/>
        <v>1139.6981686922848</v>
      </c>
      <c r="I28" s="113">
        <f t="shared" si="8"/>
        <v>11662.764862533386</v>
      </c>
      <c r="J28" s="115">
        <f t="shared" si="1"/>
        <v>1139.6981686922848</v>
      </c>
      <c r="K28" s="113">
        <f t="shared" si="9"/>
        <v>11662.764862533386</v>
      </c>
    </row>
    <row r="29" spans="1:11" x14ac:dyDescent="0.25">
      <c r="A29" s="111">
        <v>17</v>
      </c>
      <c r="B29" s="112">
        <f t="shared" si="2"/>
        <v>8860.1387901526668</v>
      </c>
      <c r="C29" s="114">
        <f t="shared" si="3"/>
        <v>0.115</v>
      </c>
      <c r="D29" s="115">
        <f t="shared" si="4"/>
        <v>-1018.9159608675567</v>
      </c>
      <c r="E29" s="110">
        <f t="shared" si="5"/>
        <v>0.23079354190117135</v>
      </c>
      <c r="F29" s="110">
        <f t="shared" si="0"/>
        <v>0.25079354190117137</v>
      </c>
      <c r="G29" s="115">
        <f t="shared" si="6"/>
        <v>2222.0655889183467</v>
      </c>
      <c r="H29" s="113">
        <f t="shared" si="7"/>
        <v>1203.1496280507899</v>
      </c>
      <c r="I29" s="113">
        <f t="shared" si="8"/>
        <v>12865.914490584175</v>
      </c>
      <c r="J29" s="115">
        <f t="shared" si="1"/>
        <v>1203.1496280507899</v>
      </c>
      <c r="K29" s="113">
        <f t="shared" si="9"/>
        <v>12865.914490584175</v>
      </c>
    </row>
    <row r="30" spans="1:11" x14ac:dyDescent="0.25">
      <c r="A30" s="111">
        <v>18</v>
      </c>
      <c r="B30" s="112">
        <f t="shared" si="2"/>
        <v>8815.8380962019037</v>
      </c>
      <c r="C30" s="114">
        <f t="shared" si="3"/>
        <v>0.115</v>
      </c>
      <c r="D30" s="115">
        <f t="shared" si="4"/>
        <v>-1013.821381063219</v>
      </c>
      <c r="E30" s="110">
        <f t="shared" si="5"/>
        <v>0.23887131586771232</v>
      </c>
      <c r="F30" s="110">
        <f t="shared" si="0"/>
        <v>0.25887131586771234</v>
      </c>
      <c r="G30" s="115">
        <f t="shared" si="6"/>
        <v>2282.1676084404949</v>
      </c>
      <c r="H30" s="113">
        <f t="shared" si="7"/>
        <v>1268.3462273772759</v>
      </c>
      <c r="I30" s="113">
        <f t="shared" si="8"/>
        <v>14134.260717961452</v>
      </c>
      <c r="J30" s="115">
        <f t="shared" si="1"/>
        <v>1268.3462273772759</v>
      </c>
      <c r="K30" s="113">
        <f t="shared" si="9"/>
        <v>14134.260717961452</v>
      </c>
    </row>
    <row r="31" spans="1:11" x14ac:dyDescent="0.25">
      <c r="A31" s="111">
        <v>19</v>
      </c>
      <c r="B31" s="112">
        <f t="shared" si="2"/>
        <v>8771.7589057208934</v>
      </c>
      <c r="C31" s="114">
        <f t="shared" si="3"/>
        <v>0.115</v>
      </c>
      <c r="D31" s="115">
        <f t="shared" si="4"/>
        <v>-1008.7522741579028</v>
      </c>
      <c r="E31" s="110">
        <f t="shared" si="5"/>
        <v>0.24723181192308225</v>
      </c>
      <c r="F31" s="110">
        <f t="shared" si="0"/>
        <v>0.26723181192308226</v>
      </c>
      <c r="G31" s="115">
        <f t="shared" si="6"/>
        <v>2344.0930261282278</v>
      </c>
      <c r="H31" s="113">
        <f t="shared" si="7"/>
        <v>1335.3407519703251</v>
      </c>
      <c r="I31" s="113">
        <f t="shared" si="8"/>
        <v>15469.601469931777</v>
      </c>
      <c r="J31" s="115">
        <f t="shared" si="1"/>
        <v>1335.3407519703251</v>
      </c>
      <c r="K31" s="113">
        <f t="shared" si="9"/>
        <v>15469.601469931777</v>
      </c>
    </row>
    <row r="32" spans="1:11" x14ac:dyDescent="0.25">
      <c r="A32" s="100">
        <v>20</v>
      </c>
      <c r="B32" s="101">
        <f t="shared" si="2"/>
        <v>8727.900111192288</v>
      </c>
      <c r="C32" s="102">
        <f t="shared" si="3"/>
        <v>0.115</v>
      </c>
      <c r="D32" s="99">
        <f t="shared" si="4"/>
        <v>-1003.7085127871131</v>
      </c>
      <c r="E32" s="103">
        <f t="shared" si="5"/>
        <v>0.25588492534039009</v>
      </c>
      <c r="F32" s="103">
        <f t="shared" si="0"/>
        <v>0.27588492534039011</v>
      </c>
      <c r="G32" s="99">
        <f t="shared" si="6"/>
        <v>2407.8960705546669</v>
      </c>
      <c r="H32" s="99">
        <f t="shared" si="7"/>
        <v>1404.1875577675537</v>
      </c>
      <c r="I32" s="99">
        <f t="shared" si="8"/>
        <v>16873.789027699331</v>
      </c>
      <c r="J32" s="99">
        <f t="shared" si="1"/>
        <v>1404.1875577675537</v>
      </c>
      <c r="K32" s="99">
        <f t="shared" si="9"/>
        <v>16873.789027699331</v>
      </c>
    </row>
    <row r="33" spans="1:11" x14ac:dyDescent="0.25">
      <c r="A33" s="111">
        <v>21</v>
      </c>
      <c r="B33" s="112">
        <f t="shared" si="2"/>
        <v>8684.2606106363273</v>
      </c>
      <c r="C33" s="114">
        <f t="shared" si="3"/>
        <v>0.115</v>
      </c>
      <c r="D33" s="115">
        <f t="shared" si="4"/>
        <v>-998.68997022317774</v>
      </c>
      <c r="E33" s="110">
        <f t="shared" si="5"/>
        <v>0.26484089772730374</v>
      </c>
      <c r="F33" s="110">
        <f t="shared" si="0"/>
        <v>0.28484089772730375</v>
      </c>
      <c r="G33" s="115">
        <f t="shared" si="6"/>
        <v>2473.6325884315147</v>
      </c>
      <c r="H33" s="113">
        <f t="shared" si="7"/>
        <v>1474.9426182083371</v>
      </c>
      <c r="I33" s="113">
        <f t="shared" si="8"/>
        <v>18348.731645907668</v>
      </c>
      <c r="J33" s="115">
        <f t="shared" si="1"/>
        <v>1474.9426182083371</v>
      </c>
      <c r="K33" s="113">
        <f t="shared" si="9"/>
        <v>18348.731645907668</v>
      </c>
    </row>
    <row r="34" spans="1:11" x14ac:dyDescent="0.25">
      <c r="A34" s="111">
        <v>22</v>
      </c>
      <c r="B34" s="112">
        <f t="shared" si="2"/>
        <v>8640.8393075831464</v>
      </c>
      <c r="C34" s="114">
        <f t="shared" si="3"/>
        <v>0.115</v>
      </c>
      <c r="D34" s="115">
        <f t="shared" si="4"/>
        <v>-993.69652037206185</v>
      </c>
      <c r="E34" s="110">
        <f t="shared" si="5"/>
        <v>0.27411032914775935</v>
      </c>
      <c r="F34" s="110">
        <f t="shared" si="0"/>
        <v>0.29411032914775936</v>
      </c>
      <c r="G34" s="115">
        <f t="shared" si="6"/>
        <v>2541.3600928661763</v>
      </c>
      <c r="H34" s="113">
        <f t="shared" si="7"/>
        <v>1547.6635724941143</v>
      </c>
      <c r="I34" s="113">
        <f t="shared" si="8"/>
        <v>19896.395218401783</v>
      </c>
      <c r="J34" s="115">
        <f t="shared" si="1"/>
        <v>1547.6635724941143</v>
      </c>
      <c r="K34" s="113">
        <f t="shared" si="9"/>
        <v>19896.395218401783</v>
      </c>
    </row>
    <row r="35" spans="1:11" x14ac:dyDescent="0.25">
      <c r="A35" s="111">
        <v>23</v>
      </c>
      <c r="B35" s="112">
        <f t="shared" si="2"/>
        <v>8597.6351110452306</v>
      </c>
      <c r="C35" s="114">
        <f t="shared" si="3"/>
        <v>0.115</v>
      </c>
      <c r="D35" s="115">
        <f t="shared" si="4"/>
        <v>-988.72803777020158</v>
      </c>
      <c r="E35" s="110">
        <f t="shared" si="5"/>
        <v>0.2837041906679309</v>
      </c>
      <c r="F35" s="110">
        <f t="shared" si="0"/>
        <v>0.30370419066793092</v>
      </c>
      <c r="G35" s="115">
        <f t="shared" si="6"/>
        <v>2611.1378130581779</v>
      </c>
      <c r="H35" s="113">
        <f t="shared" si="7"/>
        <v>1622.4097752879763</v>
      </c>
      <c r="I35" s="113">
        <f t="shared" si="8"/>
        <v>21518.804993689759</v>
      </c>
      <c r="J35" s="115">
        <f t="shared" si="1"/>
        <v>1622.4097752879763</v>
      </c>
      <c r="K35" s="113">
        <f t="shared" si="9"/>
        <v>21518.804993689759</v>
      </c>
    </row>
    <row r="36" spans="1:11" x14ac:dyDescent="0.25">
      <c r="A36" s="111">
        <v>24</v>
      </c>
      <c r="B36" s="112">
        <f t="shared" si="2"/>
        <v>8554.6469354900037</v>
      </c>
      <c r="C36" s="114">
        <f t="shared" si="3"/>
        <v>0.115</v>
      </c>
      <c r="D36" s="115">
        <f t="shared" si="4"/>
        <v>-983.7843975813505</v>
      </c>
      <c r="E36" s="110">
        <f t="shared" si="5"/>
        <v>0.29363383734130843</v>
      </c>
      <c r="F36" s="110">
        <f t="shared" si="0"/>
        <v>0.31363383734130845</v>
      </c>
      <c r="G36" s="115">
        <f t="shared" si="6"/>
        <v>2683.0267454777945</v>
      </c>
      <c r="H36" s="113">
        <f t="shared" si="7"/>
        <v>1699.242347896444</v>
      </c>
      <c r="I36" s="113">
        <f t="shared" si="8"/>
        <v>23218.047341586203</v>
      </c>
      <c r="J36" s="115">
        <f t="shared" si="1"/>
        <v>1699.242347896444</v>
      </c>
      <c r="K36" s="113">
        <f t="shared" si="9"/>
        <v>23218.047341586203</v>
      </c>
    </row>
    <row r="37" spans="1:11" x14ac:dyDescent="0.25">
      <c r="A37" s="100">
        <v>25</v>
      </c>
      <c r="B37" s="101">
        <f t="shared" si="2"/>
        <v>8511.8737008125536</v>
      </c>
      <c r="C37" s="102">
        <f t="shared" si="3"/>
        <v>0.115</v>
      </c>
      <c r="D37" s="99">
        <f t="shared" si="4"/>
        <v>-978.86547559344365</v>
      </c>
      <c r="E37" s="103">
        <f t="shared" si="5"/>
        <v>0.30391102164825423</v>
      </c>
      <c r="F37" s="103">
        <f t="shared" si="0"/>
        <v>0.32391102164825425</v>
      </c>
      <c r="G37" s="99">
        <f t="shared" si="6"/>
        <v>2757.089706571101</v>
      </c>
      <c r="H37" s="99">
        <f t="shared" si="7"/>
        <v>1778.2242309776575</v>
      </c>
      <c r="I37" s="99">
        <f t="shared" si="8"/>
        <v>24996.271572563863</v>
      </c>
      <c r="J37" s="99">
        <f t="shared" si="1"/>
        <v>1778.2242309776575</v>
      </c>
      <c r="K37" s="99">
        <f t="shared" si="9"/>
        <v>24996.271572563863</v>
      </c>
    </row>
  </sheetData>
  <mergeCells count="18">
    <mergeCell ref="A2:D2"/>
    <mergeCell ref="E2:J2"/>
    <mergeCell ref="A3:C3"/>
    <mergeCell ref="E3:J3"/>
    <mergeCell ref="A4:C4"/>
    <mergeCell ref="E4:J4"/>
    <mergeCell ref="A5:C5"/>
    <mergeCell ref="E5:J5"/>
    <mergeCell ref="A6:C6"/>
    <mergeCell ref="E6:J6"/>
    <mergeCell ref="A7:C7"/>
    <mergeCell ref="E7:J7"/>
    <mergeCell ref="A8:C8"/>
    <mergeCell ref="E8:J8"/>
    <mergeCell ref="A9:C9"/>
    <mergeCell ref="E9:J9"/>
    <mergeCell ref="A10:C10"/>
    <mergeCell ref="E10:J1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workbookViewId="0">
      <selection activeCell="A2" sqref="A2:D2"/>
    </sheetView>
  </sheetViews>
  <sheetFormatPr defaultColWidth="8.85546875" defaultRowHeight="15" x14ac:dyDescent="0.25"/>
  <cols>
    <col min="1" max="1" width="9.140625" style="106" customWidth="1"/>
    <col min="2" max="2" width="11.28515625" style="106" customWidth="1"/>
    <col min="3" max="3" width="15.7109375" style="106" customWidth="1"/>
    <col min="4" max="4" width="13.7109375" style="106" customWidth="1"/>
    <col min="5" max="5" width="11.85546875" style="106" customWidth="1"/>
    <col min="6" max="6" width="13.42578125" style="106" customWidth="1"/>
    <col min="7" max="7" width="14" style="106" customWidth="1"/>
    <col min="8" max="8" width="11.7109375" style="106" customWidth="1"/>
    <col min="9" max="9" width="12.85546875" style="106" customWidth="1"/>
    <col min="10" max="10" width="12.42578125" style="106" customWidth="1"/>
    <col min="11" max="11" width="15.28515625" style="106" customWidth="1"/>
    <col min="12" max="12" width="13.42578125" style="106" customWidth="1"/>
    <col min="13" max="16384" width="8.85546875" style="106"/>
  </cols>
  <sheetData>
    <row r="1" spans="1:18" s="118" customFormat="1" ht="30" customHeight="1" x14ac:dyDescent="0.25">
      <c r="A1" s="122" t="s">
        <v>74</v>
      </c>
      <c r="B1" s="123" t="s">
        <v>133</v>
      </c>
      <c r="C1" s="123"/>
      <c r="D1" s="123"/>
      <c r="E1" s="123"/>
      <c r="F1" s="123"/>
      <c r="G1" s="123"/>
      <c r="H1" s="123"/>
      <c r="I1" s="123"/>
      <c r="J1" s="134"/>
      <c r="K1" s="128"/>
      <c r="L1" s="128"/>
      <c r="M1" s="128"/>
      <c r="N1" s="128"/>
      <c r="O1" s="128"/>
      <c r="P1" s="128"/>
      <c r="Q1" s="128"/>
      <c r="R1" s="128"/>
    </row>
    <row r="2" spans="1:18" s="107" customFormat="1" x14ac:dyDescent="0.25">
      <c r="A2" s="210" t="s">
        <v>75</v>
      </c>
      <c r="B2" s="210"/>
      <c r="C2" s="210"/>
      <c r="D2" s="210"/>
      <c r="E2" s="211" t="s">
        <v>54</v>
      </c>
      <c r="F2" s="211"/>
      <c r="G2" s="211"/>
      <c r="H2" s="211"/>
      <c r="I2" s="211"/>
      <c r="J2" s="211"/>
      <c r="K2" s="129"/>
      <c r="L2" s="129"/>
      <c r="M2" s="129"/>
      <c r="N2" s="129"/>
      <c r="O2" s="129"/>
      <c r="P2" s="129"/>
      <c r="Q2" s="129"/>
      <c r="R2" s="129"/>
    </row>
    <row r="3" spans="1:18" ht="14.45" customHeight="1" x14ac:dyDescent="0.25">
      <c r="A3" s="212" t="s">
        <v>101</v>
      </c>
      <c r="B3" s="213"/>
      <c r="C3" s="214"/>
      <c r="D3" s="137">
        <f>'Xcel CSG Calculator'!H7</f>
        <v>9600</v>
      </c>
      <c r="E3" s="215" t="s">
        <v>102</v>
      </c>
      <c r="F3" s="215"/>
      <c r="G3" s="215"/>
      <c r="H3" s="215"/>
      <c r="I3" s="215"/>
      <c r="J3" s="215"/>
      <c r="K3" s="126"/>
      <c r="L3" s="126"/>
      <c r="M3" s="126"/>
      <c r="N3" s="126"/>
      <c r="O3" s="126"/>
      <c r="P3" s="126"/>
      <c r="Q3" s="126"/>
      <c r="R3" s="126"/>
    </row>
    <row r="4" spans="1:18" x14ac:dyDescent="0.25">
      <c r="A4" s="217" t="s">
        <v>77</v>
      </c>
      <c r="B4" s="217"/>
      <c r="C4" s="217"/>
      <c r="D4" s="132">
        <f>D14</f>
        <v>0.14309999999999998</v>
      </c>
      <c r="E4" s="217"/>
      <c r="F4" s="217"/>
      <c r="G4" s="217"/>
      <c r="H4" s="217"/>
      <c r="I4" s="217"/>
      <c r="J4" s="217"/>
      <c r="K4" s="126"/>
      <c r="L4" s="126"/>
      <c r="M4" s="126"/>
      <c r="N4" s="126"/>
      <c r="O4" s="126"/>
      <c r="P4" s="126"/>
      <c r="Q4" s="126"/>
      <c r="R4" s="126"/>
    </row>
    <row r="5" spans="1:18" x14ac:dyDescent="0.25">
      <c r="A5" s="217" t="s">
        <v>79</v>
      </c>
      <c r="B5" s="217"/>
      <c r="C5" s="217"/>
      <c r="D5" s="136">
        <f>'Xcel CSG Calculator'!H8</f>
        <v>0.1331</v>
      </c>
      <c r="E5" s="217" t="s">
        <v>80</v>
      </c>
      <c r="F5" s="217"/>
      <c r="G5" s="217"/>
      <c r="H5" s="217"/>
      <c r="I5" s="217"/>
      <c r="J5" s="217"/>
      <c r="K5" s="126"/>
      <c r="L5" s="126"/>
      <c r="M5" s="126"/>
      <c r="N5" s="126"/>
      <c r="O5" s="126"/>
      <c r="P5" s="126"/>
      <c r="Q5" s="126"/>
      <c r="R5" s="126"/>
    </row>
    <row r="6" spans="1:18" x14ac:dyDescent="0.25">
      <c r="A6" s="217" t="s">
        <v>81</v>
      </c>
      <c r="B6" s="217"/>
      <c r="C6" s="217"/>
      <c r="D6" s="133">
        <f>'Xcel CSG Calculator'!H9</f>
        <v>0.02</v>
      </c>
      <c r="E6" s="217" t="s">
        <v>82</v>
      </c>
      <c r="F6" s="217"/>
      <c r="G6" s="217"/>
      <c r="H6" s="217"/>
      <c r="I6" s="217"/>
      <c r="J6" s="217"/>
      <c r="K6" s="126"/>
      <c r="L6" s="126"/>
      <c r="M6" s="126"/>
      <c r="N6" s="126"/>
      <c r="O6" s="126"/>
      <c r="P6" s="126"/>
      <c r="Q6" s="126"/>
      <c r="R6" s="126"/>
    </row>
    <row r="7" spans="1:18" x14ac:dyDescent="0.25">
      <c r="A7" s="217" t="s">
        <v>85</v>
      </c>
      <c r="B7" s="217"/>
      <c r="C7" s="217"/>
      <c r="D7" s="131">
        <v>5.0000000000000001E-3</v>
      </c>
      <c r="E7" s="217" t="s">
        <v>86</v>
      </c>
      <c r="F7" s="217"/>
      <c r="G7" s="217"/>
      <c r="H7" s="217"/>
      <c r="I7" s="217"/>
      <c r="J7" s="217"/>
      <c r="K7" s="126"/>
      <c r="L7" s="126"/>
      <c r="M7" s="126"/>
      <c r="N7" s="126"/>
      <c r="O7" s="126"/>
      <c r="P7" s="126"/>
      <c r="Q7" s="126"/>
      <c r="R7" s="126"/>
    </row>
    <row r="8" spans="1:18" x14ac:dyDescent="0.25">
      <c r="A8" s="217" t="s">
        <v>87</v>
      </c>
      <c r="B8" s="217"/>
      <c r="C8" s="217"/>
      <c r="D8" s="131">
        <f>'Xcel CSG Calculator'!H10</f>
        <v>3.5000000000000003E-2</v>
      </c>
      <c r="E8" s="217" t="s">
        <v>103</v>
      </c>
      <c r="F8" s="217"/>
      <c r="G8" s="217"/>
      <c r="H8" s="217"/>
      <c r="I8" s="217"/>
      <c r="J8" s="217"/>
      <c r="K8" s="126"/>
      <c r="L8" s="126"/>
      <c r="M8" s="126"/>
      <c r="N8" s="126"/>
      <c r="O8" s="126"/>
      <c r="P8" s="126"/>
      <c r="Q8" s="126"/>
      <c r="R8" s="126"/>
    </row>
    <row r="9" spans="1:18" x14ac:dyDescent="0.25">
      <c r="A9" s="217" t="s">
        <v>104</v>
      </c>
      <c r="B9" s="217"/>
      <c r="C9" s="217"/>
      <c r="D9" s="140">
        <f>'Xcel CSG Calculator'!H23</f>
        <v>0.01</v>
      </c>
      <c r="E9" s="217" t="s">
        <v>105</v>
      </c>
      <c r="F9" s="217"/>
      <c r="G9" s="217"/>
      <c r="H9" s="217"/>
      <c r="I9" s="217"/>
      <c r="J9" s="217"/>
      <c r="K9" s="126"/>
      <c r="L9" s="126"/>
      <c r="M9" s="126"/>
      <c r="N9" s="126"/>
      <c r="O9" s="126"/>
      <c r="P9" s="126"/>
      <c r="Q9" s="126"/>
      <c r="R9" s="126"/>
    </row>
    <row r="10" spans="1:18" x14ac:dyDescent="0.25">
      <c r="A10" s="217" t="s">
        <v>106</v>
      </c>
      <c r="B10" s="217"/>
      <c r="C10" s="217"/>
      <c r="D10" s="139">
        <f>'Xcel CSG Calculator'!I23</f>
        <v>0</v>
      </c>
      <c r="E10" s="217" t="s">
        <v>107</v>
      </c>
      <c r="F10" s="217"/>
      <c r="G10" s="217"/>
      <c r="H10" s="217"/>
      <c r="I10" s="217"/>
      <c r="J10" s="217"/>
      <c r="K10" s="126"/>
      <c r="L10" s="126"/>
      <c r="M10" s="126"/>
      <c r="N10" s="126"/>
      <c r="O10" s="126"/>
      <c r="P10" s="126"/>
      <c r="Q10" s="126"/>
      <c r="R10" s="126"/>
    </row>
    <row r="11" spans="1:18" x14ac:dyDescent="0.25">
      <c r="A11" s="217" t="s">
        <v>18</v>
      </c>
      <c r="B11" s="217"/>
      <c r="C11" s="217"/>
      <c r="D11" s="131">
        <f>'Xcel CSG Calculator'!H11</f>
        <v>0</v>
      </c>
      <c r="E11" s="217" t="s">
        <v>89</v>
      </c>
      <c r="F11" s="217"/>
      <c r="G11" s="217"/>
      <c r="H11" s="217"/>
      <c r="I11" s="217"/>
      <c r="J11" s="217"/>
      <c r="K11" s="126"/>
      <c r="L11" s="126"/>
      <c r="M11" s="126"/>
      <c r="N11" s="126"/>
      <c r="O11" s="126"/>
      <c r="P11" s="126"/>
      <c r="Q11" s="126"/>
      <c r="R11" s="126"/>
    </row>
    <row r="12" spans="1:18" s="108" customFormat="1" x14ac:dyDescent="0.25">
      <c r="A12" s="124"/>
      <c r="B12" s="124"/>
      <c r="C12" s="124"/>
      <c r="D12" s="125"/>
      <c r="E12" s="125"/>
      <c r="F12" s="125"/>
      <c r="G12" s="125"/>
      <c r="H12" s="125"/>
      <c r="I12" s="125"/>
      <c r="J12" s="125"/>
      <c r="K12" s="130"/>
      <c r="L12" s="130"/>
      <c r="M12" s="130"/>
      <c r="N12" s="130"/>
      <c r="O12" s="130"/>
      <c r="P12" s="130"/>
      <c r="Q12" s="130"/>
      <c r="R12" s="130"/>
    </row>
    <row r="13" spans="1:18" ht="60" x14ac:dyDescent="0.25">
      <c r="A13" s="109" t="s">
        <v>90</v>
      </c>
      <c r="B13" s="109" t="s">
        <v>91</v>
      </c>
      <c r="C13" s="109" t="s">
        <v>108</v>
      </c>
      <c r="D13" s="109" t="s">
        <v>109</v>
      </c>
      <c r="E13" s="116" t="s">
        <v>93</v>
      </c>
      <c r="F13" s="109" t="s">
        <v>94</v>
      </c>
      <c r="G13" s="109" t="s">
        <v>95</v>
      </c>
      <c r="H13" s="116" t="s">
        <v>96</v>
      </c>
      <c r="I13" s="109" t="s">
        <v>97</v>
      </c>
      <c r="J13" s="109" t="s">
        <v>98</v>
      </c>
      <c r="K13" s="116" t="s">
        <v>99</v>
      </c>
      <c r="L13" s="109" t="s">
        <v>100</v>
      </c>
      <c r="M13" s="135"/>
      <c r="N13" s="126"/>
      <c r="O13" s="126"/>
      <c r="P13" s="126"/>
      <c r="Q13" s="126"/>
      <c r="R13" s="126"/>
    </row>
    <row r="14" spans="1:18" x14ac:dyDescent="0.25">
      <c r="A14" s="111">
        <v>1</v>
      </c>
      <c r="B14" s="112">
        <f>$D$3</f>
        <v>9600</v>
      </c>
      <c r="C14" s="114">
        <f>G14-$D$9</f>
        <v>0.14309999999999998</v>
      </c>
      <c r="D14" s="117">
        <f>IF(C14&lt;$D$10,$D$10,C14)</f>
        <v>0.14309999999999998</v>
      </c>
      <c r="E14" s="115">
        <f>B14*D14*-1</f>
        <v>-1373.7599999999998</v>
      </c>
      <c r="F14" s="110">
        <f>D5</f>
        <v>0.1331</v>
      </c>
      <c r="G14" s="110">
        <f>F14+$D$6</f>
        <v>0.15309999999999999</v>
      </c>
      <c r="H14" s="115">
        <f t="shared" ref="H14:H38" si="0">B14*G14</f>
        <v>1469.7599999999998</v>
      </c>
      <c r="I14" s="113">
        <f>E14+H14</f>
        <v>96</v>
      </c>
      <c r="J14" s="113">
        <f>I14</f>
        <v>96</v>
      </c>
      <c r="K14" s="115">
        <f>I14/(1+$D$11)^($A14-1)</f>
        <v>96</v>
      </c>
      <c r="L14" s="113">
        <f>K14</f>
        <v>96</v>
      </c>
      <c r="M14" s="135"/>
      <c r="N14" s="126"/>
      <c r="O14" s="126"/>
      <c r="P14" s="126"/>
      <c r="Q14" s="126"/>
      <c r="R14" s="126"/>
    </row>
    <row r="15" spans="1:18" x14ac:dyDescent="0.25">
      <c r="A15" s="111">
        <v>2</v>
      </c>
      <c r="B15" s="112">
        <f>B14*(1-$D$7)</f>
        <v>9552</v>
      </c>
      <c r="C15" s="114">
        <f t="shared" ref="C15:C38" si="1">G15-$D$9</f>
        <v>0.14775849999999996</v>
      </c>
      <c r="D15" s="117">
        <f t="shared" ref="D15:D38" si="2">IF(C15&lt;$D$10,$D$10,C15)</f>
        <v>0.14775849999999996</v>
      </c>
      <c r="E15" s="115">
        <f t="shared" ref="E15:E38" si="3">B15*D15*-1</f>
        <v>-1411.3891919999996</v>
      </c>
      <c r="F15" s="110">
        <f t="shared" ref="F15:F38" si="4">F14*(1+$D$8)</f>
        <v>0.13775849999999998</v>
      </c>
      <c r="G15" s="110">
        <f t="shared" ref="G15:G38" si="5">F15+$D$6</f>
        <v>0.15775849999999997</v>
      </c>
      <c r="H15" s="115">
        <f t="shared" si="0"/>
        <v>1506.9091919999996</v>
      </c>
      <c r="I15" s="113">
        <f t="shared" ref="I15:I38" si="6">E15+H15</f>
        <v>95.519999999999982</v>
      </c>
      <c r="J15" s="113">
        <f t="shared" ref="J15:J38" si="7">J14+I15</f>
        <v>191.51999999999998</v>
      </c>
      <c r="K15" s="115">
        <f>I15/(1+$D$11)^($A15-1)</f>
        <v>95.519999999999982</v>
      </c>
      <c r="L15" s="113">
        <f>K15+L14</f>
        <v>191.51999999999998</v>
      </c>
      <c r="M15" s="135"/>
      <c r="N15" s="126"/>
      <c r="O15" s="126"/>
      <c r="P15" s="126"/>
      <c r="Q15" s="126"/>
      <c r="R15" s="126"/>
    </row>
    <row r="16" spans="1:18" x14ac:dyDescent="0.25">
      <c r="A16" s="111">
        <v>3</v>
      </c>
      <c r="B16" s="112">
        <f t="shared" ref="B16:B38" si="8">B15*(1-$D$7)</f>
        <v>9504.24</v>
      </c>
      <c r="C16" s="114">
        <f t="shared" si="1"/>
        <v>0.15258004749999995</v>
      </c>
      <c r="D16" s="117">
        <f t="shared" si="2"/>
        <v>0.15258004749999995</v>
      </c>
      <c r="E16" s="115">
        <f t="shared" si="3"/>
        <v>-1450.1573906513995</v>
      </c>
      <c r="F16" s="110">
        <f t="shared" si="4"/>
        <v>0.14258004749999997</v>
      </c>
      <c r="G16" s="110">
        <f t="shared" si="5"/>
        <v>0.16258004749999996</v>
      </c>
      <c r="H16" s="115">
        <f t="shared" si="0"/>
        <v>1545.1997906513996</v>
      </c>
      <c r="I16" s="113">
        <f t="shared" si="6"/>
        <v>95.042400000000043</v>
      </c>
      <c r="J16" s="113">
        <f t="shared" si="7"/>
        <v>286.56240000000003</v>
      </c>
      <c r="K16" s="115">
        <f t="shared" ref="K16:K38" si="9">I16/(1+$D$11)^($A16-1)</f>
        <v>95.042400000000043</v>
      </c>
      <c r="L16" s="113">
        <f t="shared" ref="L16:L38" si="10">K16+L15</f>
        <v>286.56240000000003</v>
      </c>
      <c r="M16" s="135"/>
      <c r="N16" s="126"/>
      <c r="O16" s="126"/>
      <c r="P16" s="126"/>
      <c r="Q16" s="126"/>
      <c r="R16" s="126"/>
    </row>
    <row r="17" spans="1:18" x14ac:dyDescent="0.25">
      <c r="A17" s="111">
        <v>4</v>
      </c>
      <c r="B17" s="112">
        <f t="shared" si="8"/>
        <v>9456.7188000000006</v>
      </c>
      <c r="C17" s="114">
        <f t="shared" si="1"/>
        <v>0.15757034916249993</v>
      </c>
      <c r="D17" s="117">
        <f t="shared" si="2"/>
        <v>0.15757034916249993</v>
      </c>
      <c r="E17" s="115">
        <f t="shared" si="3"/>
        <v>-1490.0984832475774</v>
      </c>
      <c r="F17" s="110">
        <f t="shared" si="4"/>
        <v>0.14757034916249995</v>
      </c>
      <c r="G17" s="110">
        <f t="shared" si="5"/>
        <v>0.16757034916249994</v>
      </c>
      <c r="H17" s="115">
        <f t="shared" si="0"/>
        <v>1584.6656712475776</v>
      </c>
      <c r="I17" s="113">
        <f t="shared" si="6"/>
        <v>94.567188000000215</v>
      </c>
      <c r="J17" s="113">
        <f t="shared" si="7"/>
        <v>381.12958800000024</v>
      </c>
      <c r="K17" s="115">
        <f t="shared" si="9"/>
        <v>94.567188000000215</v>
      </c>
      <c r="L17" s="113">
        <f t="shared" si="10"/>
        <v>381.12958800000024</v>
      </c>
      <c r="M17" s="135"/>
      <c r="N17" s="126"/>
      <c r="O17" s="126"/>
      <c r="P17" s="126"/>
      <c r="Q17" s="126"/>
      <c r="R17" s="126"/>
    </row>
    <row r="18" spans="1:18" x14ac:dyDescent="0.25">
      <c r="A18" s="100">
        <v>5</v>
      </c>
      <c r="B18" s="101">
        <f t="shared" si="8"/>
        <v>9409.4352060000001</v>
      </c>
      <c r="C18" s="102">
        <f t="shared" si="1"/>
        <v>0.16273531138318742</v>
      </c>
      <c r="D18" s="146">
        <f t="shared" si="2"/>
        <v>0.16273531138318742</v>
      </c>
      <c r="E18" s="99">
        <f t="shared" si="3"/>
        <v>-1531.2473681883364</v>
      </c>
      <c r="F18" s="103">
        <f t="shared" si="4"/>
        <v>0.15273531138318744</v>
      </c>
      <c r="G18" s="103">
        <f t="shared" si="5"/>
        <v>0.17273531138318743</v>
      </c>
      <c r="H18" s="99">
        <f t="shared" si="0"/>
        <v>1625.3417202483363</v>
      </c>
      <c r="I18" s="99">
        <f t="shared" si="6"/>
        <v>94.094352059999892</v>
      </c>
      <c r="J18" s="99">
        <f t="shared" si="7"/>
        <v>475.22394006000013</v>
      </c>
      <c r="K18" s="99">
        <f t="shared" si="9"/>
        <v>94.094352059999892</v>
      </c>
      <c r="L18" s="99">
        <f t="shared" si="10"/>
        <v>475.22394006000013</v>
      </c>
      <c r="M18" s="135"/>
      <c r="N18" s="126"/>
      <c r="O18" s="126"/>
      <c r="P18" s="126"/>
      <c r="Q18" s="126"/>
      <c r="R18" s="126"/>
    </row>
    <row r="19" spans="1:18" x14ac:dyDescent="0.25">
      <c r="A19" s="111">
        <v>6</v>
      </c>
      <c r="B19" s="112">
        <f t="shared" si="8"/>
        <v>9362.3880299699995</v>
      </c>
      <c r="C19" s="114">
        <f t="shared" si="1"/>
        <v>0.16808104728159898</v>
      </c>
      <c r="D19" s="117">
        <f t="shared" si="2"/>
        <v>0.16808104728159898</v>
      </c>
      <c r="E19" s="115">
        <f t="shared" si="3"/>
        <v>-1573.6399851340639</v>
      </c>
      <c r="F19" s="110">
        <f t="shared" si="4"/>
        <v>0.158081047281599</v>
      </c>
      <c r="G19" s="110">
        <f t="shared" si="5"/>
        <v>0.17808104728159899</v>
      </c>
      <c r="H19" s="115">
        <f t="shared" si="0"/>
        <v>1667.2638654337638</v>
      </c>
      <c r="I19" s="113">
        <f t="shared" si="6"/>
        <v>93.623880299699977</v>
      </c>
      <c r="J19" s="113">
        <f t="shared" si="7"/>
        <v>568.84782035970011</v>
      </c>
      <c r="K19" s="115">
        <f t="shared" si="9"/>
        <v>93.623880299699977</v>
      </c>
      <c r="L19" s="113">
        <f t="shared" si="10"/>
        <v>568.84782035970011</v>
      </c>
      <c r="M19" s="135"/>
      <c r="N19" s="126"/>
      <c r="O19" s="126"/>
      <c r="P19" s="126"/>
      <c r="Q19" s="126"/>
      <c r="R19" s="126"/>
    </row>
    <row r="20" spans="1:18" x14ac:dyDescent="0.25">
      <c r="A20" s="111">
        <v>7</v>
      </c>
      <c r="B20" s="112">
        <f t="shared" si="8"/>
        <v>9315.5760898201497</v>
      </c>
      <c r="C20" s="114">
        <f t="shared" si="1"/>
        <v>0.17361388393645494</v>
      </c>
      <c r="D20" s="117">
        <f t="shared" si="2"/>
        <v>0.17361388393645494</v>
      </c>
      <c r="E20" s="115">
        <f t="shared" si="3"/>
        <v>-1617.3133460592503</v>
      </c>
      <c r="F20" s="110">
        <f t="shared" si="4"/>
        <v>0.16361388393645496</v>
      </c>
      <c r="G20" s="110">
        <f t="shared" si="5"/>
        <v>0.18361388393645495</v>
      </c>
      <c r="H20" s="115">
        <f t="shared" si="0"/>
        <v>1710.4691069574517</v>
      </c>
      <c r="I20" s="113">
        <f t="shared" si="6"/>
        <v>93.155760898201379</v>
      </c>
      <c r="J20" s="113">
        <f t="shared" si="7"/>
        <v>662.00358125790149</v>
      </c>
      <c r="K20" s="115">
        <f t="shared" si="9"/>
        <v>93.155760898201379</v>
      </c>
      <c r="L20" s="113">
        <f t="shared" si="10"/>
        <v>662.00358125790149</v>
      </c>
      <c r="M20" s="135"/>
      <c r="N20" s="126"/>
      <c r="O20" s="126"/>
      <c r="P20" s="126"/>
      <c r="Q20" s="126"/>
      <c r="R20" s="126"/>
    </row>
    <row r="21" spans="1:18" x14ac:dyDescent="0.25">
      <c r="A21" s="111">
        <v>8</v>
      </c>
      <c r="B21" s="112">
        <f t="shared" si="8"/>
        <v>9268.9982093710496</v>
      </c>
      <c r="C21" s="114">
        <f t="shared" si="1"/>
        <v>0.17934036987423085</v>
      </c>
      <c r="D21" s="117">
        <f t="shared" si="2"/>
        <v>0.17934036987423085</v>
      </c>
      <c r="E21" s="115">
        <f t="shared" si="3"/>
        <v>-1662.3055672321875</v>
      </c>
      <c r="F21" s="110">
        <f t="shared" si="4"/>
        <v>0.16934036987423087</v>
      </c>
      <c r="G21" s="110">
        <f t="shared" si="5"/>
        <v>0.18934036987423086</v>
      </c>
      <c r="H21" s="115">
        <f t="shared" si="0"/>
        <v>1754.9955493258981</v>
      </c>
      <c r="I21" s="113">
        <f t="shared" si="6"/>
        <v>92.689982093710569</v>
      </c>
      <c r="J21" s="113">
        <f t="shared" si="7"/>
        <v>754.69356335161206</v>
      </c>
      <c r="K21" s="115">
        <f t="shared" si="9"/>
        <v>92.689982093710569</v>
      </c>
      <c r="L21" s="113">
        <f t="shared" si="10"/>
        <v>754.69356335161206</v>
      </c>
      <c r="M21" s="135"/>
      <c r="N21" s="126"/>
      <c r="O21" s="126"/>
      <c r="P21" s="126"/>
      <c r="Q21" s="126"/>
      <c r="R21" s="126"/>
    </row>
    <row r="22" spans="1:18" x14ac:dyDescent="0.25">
      <c r="A22" s="111">
        <v>9</v>
      </c>
      <c r="B22" s="112">
        <f t="shared" si="8"/>
        <v>9222.6532183241943</v>
      </c>
      <c r="C22" s="114">
        <f t="shared" si="1"/>
        <v>0.18526728281982893</v>
      </c>
      <c r="D22" s="117">
        <f t="shared" si="2"/>
        <v>0.18526728281982893</v>
      </c>
      <c r="E22" s="115">
        <f t="shared" si="3"/>
        <v>-1708.6559021484741</v>
      </c>
      <c r="F22" s="110">
        <f t="shared" si="4"/>
        <v>0.17526728281982895</v>
      </c>
      <c r="G22" s="110">
        <f t="shared" si="5"/>
        <v>0.19526728281982894</v>
      </c>
      <c r="H22" s="115">
        <f t="shared" si="0"/>
        <v>1800.882434331716</v>
      </c>
      <c r="I22" s="113">
        <f t="shared" si="6"/>
        <v>92.226532183241943</v>
      </c>
      <c r="J22" s="113">
        <f t="shared" si="7"/>
        <v>846.920095534854</v>
      </c>
      <c r="K22" s="115">
        <f t="shared" si="9"/>
        <v>92.226532183241943</v>
      </c>
      <c r="L22" s="113">
        <f t="shared" si="10"/>
        <v>846.920095534854</v>
      </c>
      <c r="M22" s="135"/>
      <c r="N22" s="126"/>
      <c r="O22" s="126"/>
      <c r="P22" s="126"/>
      <c r="Q22" s="126"/>
      <c r="R22" s="126"/>
    </row>
    <row r="23" spans="1:18" x14ac:dyDescent="0.25">
      <c r="A23" s="100">
        <v>10</v>
      </c>
      <c r="B23" s="101">
        <f t="shared" si="8"/>
        <v>9176.5399522325733</v>
      </c>
      <c r="C23" s="102">
        <f t="shared" si="1"/>
        <v>0.19140163771852292</v>
      </c>
      <c r="D23" s="146">
        <f t="shared" si="2"/>
        <v>0.19140163771852292</v>
      </c>
      <c r="E23" s="99">
        <f t="shared" si="3"/>
        <v>-1756.4047754467706</v>
      </c>
      <c r="F23" s="103">
        <f t="shared" si="4"/>
        <v>0.18140163771852294</v>
      </c>
      <c r="G23" s="103">
        <f t="shared" si="5"/>
        <v>0.20140163771852293</v>
      </c>
      <c r="H23" s="99">
        <f t="shared" si="0"/>
        <v>1848.1701749690965</v>
      </c>
      <c r="I23" s="99">
        <f t="shared" si="6"/>
        <v>91.765399522325879</v>
      </c>
      <c r="J23" s="99">
        <f t="shared" si="7"/>
        <v>938.68549505717988</v>
      </c>
      <c r="K23" s="99">
        <f t="shared" si="9"/>
        <v>91.765399522325879</v>
      </c>
      <c r="L23" s="99">
        <f t="shared" si="10"/>
        <v>938.68549505717988</v>
      </c>
      <c r="M23" s="135"/>
      <c r="N23" s="126"/>
      <c r="O23" s="126"/>
      <c r="P23" s="126"/>
      <c r="Q23" s="126"/>
      <c r="R23" s="126"/>
    </row>
    <row r="24" spans="1:18" x14ac:dyDescent="0.25">
      <c r="A24" s="111">
        <v>11</v>
      </c>
      <c r="B24" s="112">
        <f t="shared" si="8"/>
        <v>9130.6572524714102</v>
      </c>
      <c r="C24" s="114">
        <f t="shared" si="1"/>
        <v>0.19775069503867121</v>
      </c>
      <c r="D24" s="117">
        <f t="shared" si="2"/>
        <v>0.19775069503867121</v>
      </c>
      <c r="E24" s="115">
        <f t="shared" si="3"/>
        <v>-1805.5938178361055</v>
      </c>
      <c r="F24" s="110">
        <f t="shared" si="4"/>
        <v>0.18775069503867123</v>
      </c>
      <c r="G24" s="110">
        <f t="shared" si="5"/>
        <v>0.20775069503867122</v>
      </c>
      <c r="H24" s="115">
        <f t="shared" si="0"/>
        <v>1896.9003903608195</v>
      </c>
      <c r="I24" s="113">
        <f t="shared" si="6"/>
        <v>91.306572524714056</v>
      </c>
      <c r="J24" s="113">
        <f t="shared" si="7"/>
        <v>1029.9920675818939</v>
      </c>
      <c r="K24" s="115">
        <f t="shared" si="9"/>
        <v>91.306572524714056</v>
      </c>
      <c r="L24" s="113">
        <f t="shared" si="10"/>
        <v>1029.9920675818939</v>
      </c>
      <c r="M24" s="135"/>
      <c r="N24" s="126"/>
      <c r="O24" s="126"/>
      <c r="P24" s="126"/>
      <c r="Q24" s="126"/>
      <c r="R24" s="126"/>
    </row>
    <row r="25" spans="1:18" x14ac:dyDescent="0.25">
      <c r="A25" s="111">
        <v>12</v>
      </c>
      <c r="B25" s="112">
        <f t="shared" si="8"/>
        <v>9085.003966209053</v>
      </c>
      <c r="C25" s="114">
        <f t="shared" si="1"/>
        <v>0.2043219693650247</v>
      </c>
      <c r="D25" s="117">
        <f t="shared" si="2"/>
        <v>0.2043219693650247</v>
      </c>
      <c r="E25" s="115">
        <f t="shared" si="3"/>
        <v>-1856.2659020648939</v>
      </c>
      <c r="F25" s="110">
        <f t="shared" si="4"/>
        <v>0.19432196936502472</v>
      </c>
      <c r="G25" s="110">
        <f t="shared" si="5"/>
        <v>0.21432196936502471</v>
      </c>
      <c r="H25" s="115">
        <f t="shared" si="0"/>
        <v>1947.1159417269846</v>
      </c>
      <c r="I25" s="113">
        <f t="shared" si="6"/>
        <v>90.850039662090694</v>
      </c>
      <c r="J25" s="113">
        <f t="shared" si="7"/>
        <v>1120.8421072439846</v>
      </c>
      <c r="K25" s="115">
        <f t="shared" si="9"/>
        <v>90.850039662090694</v>
      </c>
      <c r="L25" s="113">
        <f t="shared" si="10"/>
        <v>1120.8421072439846</v>
      </c>
      <c r="M25" s="135"/>
      <c r="N25" s="126"/>
      <c r="O25" s="126"/>
      <c r="P25" s="126"/>
      <c r="Q25" s="126"/>
      <c r="R25" s="126"/>
    </row>
    <row r="26" spans="1:18" x14ac:dyDescent="0.25">
      <c r="A26" s="111">
        <v>13</v>
      </c>
      <c r="B26" s="112">
        <f t="shared" si="8"/>
        <v>9039.5789463780075</v>
      </c>
      <c r="C26" s="114">
        <f t="shared" si="1"/>
        <v>0.21112323829280055</v>
      </c>
      <c r="D26" s="117">
        <f t="shared" si="2"/>
        <v>0.21112323829280055</v>
      </c>
      <c r="E26" s="115">
        <f t="shared" si="3"/>
        <v>-1908.465179962747</v>
      </c>
      <c r="F26" s="110">
        <f t="shared" si="4"/>
        <v>0.20112323829280057</v>
      </c>
      <c r="G26" s="110">
        <f t="shared" si="5"/>
        <v>0.22112323829280056</v>
      </c>
      <c r="H26" s="115">
        <f t="shared" si="0"/>
        <v>1998.8609694265272</v>
      </c>
      <c r="I26" s="113">
        <f t="shared" si="6"/>
        <v>90.395789463780147</v>
      </c>
      <c r="J26" s="113">
        <f t="shared" si="7"/>
        <v>1211.2378967077648</v>
      </c>
      <c r="K26" s="115">
        <f t="shared" si="9"/>
        <v>90.395789463780147</v>
      </c>
      <c r="L26" s="113">
        <f t="shared" si="10"/>
        <v>1211.2378967077648</v>
      </c>
      <c r="M26" s="135"/>
      <c r="N26" s="126"/>
      <c r="O26" s="126"/>
      <c r="P26" s="126"/>
      <c r="Q26" s="126"/>
      <c r="R26" s="126"/>
    </row>
    <row r="27" spans="1:18" x14ac:dyDescent="0.25">
      <c r="A27" s="111">
        <v>14</v>
      </c>
      <c r="B27" s="112">
        <f t="shared" si="8"/>
        <v>8994.3810516461181</v>
      </c>
      <c r="C27" s="114">
        <f t="shared" si="1"/>
        <v>0.21816255163304857</v>
      </c>
      <c r="D27" s="117">
        <f t="shared" si="2"/>
        <v>0.21816255163304857</v>
      </c>
      <c r="E27" s="115">
        <f t="shared" si="3"/>
        <v>-1962.23712058706</v>
      </c>
      <c r="F27" s="110">
        <f t="shared" si="4"/>
        <v>0.20816255163304859</v>
      </c>
      <c r="G27" s="110">
        <f t="shared" si="5"/>
        <v>0.22816255163304858</v>
      </c>
      <c r="H27" s="115">
        <f t="shared" si="0"/>
        <v>2052.1809311035213</v>
      </c>
      <c r="I27" s="113">
        <f t="shared" si="6"/>
        <v>89.943810516461326</v>
      </c>
      <c r="J27" s="113">
        <f t="shared" si="7"/>
        <v>1301.1817072242261</v>
      </c>
      <c r="K27" s="115">
        <f t="shared" si="9"/>
        <v>89.943810516461326</v>
      </c>
      <c r="L27" s="113">
        <f t="shared" si="10"/>
        <v>1301.1817072242261</v>
      </c>
      <c r="M27" s="135"/>
      <c r="N27" s="126"/>
      <c r="O27" s="126"/>
      <c r="P27" s="126"/>
      <c r="Q27" s="126"/>
      <c r="R27" s="126"/>
    </row>
    <row r="28" spans="1:18" x14ac:dyDescent="0.25">
      <c r="A28" s="100">
        <v>15</v>
      </c>
      <c r="B28" s="101">
        <f t="shared" si="8"/>
        <v>8949.4091463878867</v>
      </c>
      <c r="C28" s="102">
        <f t="shared" si="1"/>
        <v>0.22544824094020524</v>
      </c>
      <c r="D28" s="146">
        <f t="shared" si="2"/>
        <v>0.22544824094020524</v>
      </c>
      <c r="E28" s="99">
        <f t="shared" si="3"/>
        <v>-2017.6285495073328</v>
      </c>
      <c r="F28" s="103">
        <f t="shared" si="4"/>
        <v>0.21544824094020526</v>
      </c>
      <c r="G28" s="103">
        <f t="shared" si="5"/>
        <v>0.23544824094020525</v>
      </c>
      <c r="H28" s="99">
        <f t="shared" si="0"/>
        <v>2107.1226409712117</v>
      </c>
      <c r="I28" s="99">
        <f t="shared" si="6"/>
        <v>89.494091463878931</v>
      </c>
      <c r="J28" s="99">
        <f t="shared" si="7"/>
        <v>1390.675798688105</v>
      </c>
      <c r="K28" s="99">
        <f t="shared" si="9"/>
        <v>89.494091463878931</v>
      </c>
      <c r="L28" s="99">
        <f t="shared" si="10"/>
        <v>1390.675798688105</v>
      </c>
      <c r="M28" s="135"/>
      <c r="N28" s="126"/>
      <c r="O28" s="126"/>
      <c r="P28" s="126"/>
      <c r="Q28" s="126"/>
      <c r="R28" s="126"/>
    </row>
    <row r="29" spans="1:18" x14ac:dyDescent="0.25">
      <c r="A29" s="111">
        <v>16</v>
      </c>
      <c r="B29" s="112">
        <f t="shared" si="8"/>
        <v>8904.6621006559471</v>
      </c>
      <c r="C29" s="114">
        <f t="shared" si="1"/>
        <v>0.23298892937311241</v>
      </c>
      <c r="D29" s="117">
        <f t="shared" si="2"/>
        <v>0.23298892937311241</v>
      </c>
      <c r="E29" s="115">
        <f t="shared" si="3"/>
        <v>-2074.6876892611594</v>
      </c>
      <c r="F29" s="110">
        <f t="shared" si="4"/>
        <v>0.22298892937311243</v>
      </c>
      <c r="G29" s="110">
        <f t="shared" si="5"/>
        <v>0.24298892937311242</v>
      </c>
      <c r="H29" s="115">
        <f t="shared" si="0"/>
        <v>2163.7343102677187</v>
      </c>
      <c r="I29" s="113">
        <f t="shared" si="6"/>
        <v>89.046621006559235</v>
      </c>
      <c r="J29" s="113">
        <f t="shared" si="7"/>
        <v>1479.7224196946643</v>
      </c>
      <c r="K29" s="115">
        <f t="shared" si="9"/>
        <v>89.046621006559235</v>
      </c>
      <c r="L29" s="113">
        <f t="shared" si="10"/>
        <v>1479.7224196946643</v>
      </c>
      <c r="M29" s="135"/>
      <c r="N29" s="126"/>
      <c r="O29" s="126"/>
      <c r="P29" s="126"/>
      <c r="Q29" s="126"/>
      <c r="R29" s="126"/>
    </row>
    <row r="30" spans="1:18" x14ac:dyDescent="0.25">
      <c r="A30" s="111">
        <v>17</v>
      </c>
      <c r="B30" s="112">
        <f t="shared" si="8"/>
        <v>8860.1387901526668</v>
      </c>
      <c r="C30" s="114">
        <f t="shared" si="1"/>
        <v>0.24079354190117136</v>
      </c>
      <c r="D30" s="117">
        <f t="shared" si="2"/>
        <v>0.24079354190117136</v>
      </c>
      <c r="E30" s="115">
        <f t="shared" si="3"/>
        <v>-2133.46420101682</v>
      </c>
      <c r="F30" s="110">
        <f t="shared" si="4"/>
        <v>0.23079354190117135</v>
      </c>
      <c r="G30" s="110">
        <f t="shared" si="5"/>
        <v>0.25079354190117137</v>
      </c>
      <c r="H30" s="115">
        <f t="shared" si="0"/>
        <v>2222.0655889183467</v>
      </c>
      <c r="I30" s="113">
        <f t="shared" si="6"/>
        <v>88.601387901526778</v>
      </c>
      <c r="J30" s="113">
        <f t="shared" si="7"/>
        <v>1568.323807596191</v>
      </c>
      <c r="K30" s="115">
        <f t="shared" si="9"/>
        <v>88.601387901526778</v>
      </c>
      <c r="L30" s="113">
        <f t="shared" si="10"/>
        <v>1568.323807596191</v>
      </c>
      <c r="M30" s="135"/>
      <c r="N30" s="126"/>
      <c r="O30" s="126"/>
      <c r="P30" s="126"/>
      <c r="Q30" s="126"/>
      <c r="R30" s="126"/>
    </row>
    <row r="31" spans="1:18" x14ac:dyDescent="0.25">
      <c r="A31" s="111">
        <v>18</v>
      </c>
      <c r="B31" s="112">
        <f t="shared" si="8"/>
        <v>8815.8380962019037</v>
      </c>
      <c r="C31" s="114">
        <f t="shared" si="1"/>
        <v>0.24887131586771233</v>
      </c>
      <c r="D31" s="117">
        <f t="shared" si="2"/>
        <v>0.24887131586771233</v>
      </c>
      <c r="E31" s="115">
        <f t="shared" si="3"/>
        <v>-2194.0092274784756</v>
      </c>
      <c r="F31" s="110">
        <f t="shared" si="4"/>
        <v>0.23887131586771232</v>
      </c>
      <c r="G31" s="110">
        <f t="shared" si="5"/>
        <v>0.25887131586771234</v>
      </c>
      <c r="H31" s="115">
        <f t="shared" si="0"/>
        <v>2282.1676084404949</v>
      </c>
      <c r="I31" s="113">
        <f t="shared" si="6"/>
        <v>88.158380962019237</v>
      </c>
      <c r="J31" s="113">
        <f t="shared" si="7"/>
        <v>1656.4821885582103</v>
      </c>
      <c r="K31" s="115">
        <f t="shared" si="9"/>
        <v>88.158380962019237</v>
      </c>
      <c r="L31" s="113">
        <f t="shared" si="10"/>
        <v>1656.4821885582103</v>
      </c>
      <c r="M31" s="135"/>
      <c r="N31" s="126"/>
      <c r="O31" s="126"/>
      <c r="P31" s="126"/>
      <c r="Q31" s="126"/>
      <c r="R31" s="126"/>
    </row>
    <row r="32" spans="1:18" x14ac:dyDescent="0.25">
      <c r="A32" s="111">
        <v>19</v>
      </c>
      <c r="B32" s="112">
        <f t="shared" si="8"/>
        <v>8771.7589057208934</v>
      </c>
      <c r="C32" s="114">
        <f t="shared" si="1"/>
        <v>0.25723181192308225</v>
      </c>
      <c r="D32" s="117">
        <f t="shared" si="2"/>
        <v>0.25723181192308225</v>
      </c>
      <c r="E32" s="115">
        <f t="shared" si="3"/>
        <v>-2256.3754370710185</v>
      </c>
      <c r="F32" s="110">
        <f t="shared" si="4"/>
        <v>0.24723181192308225</v>
      </c>
      <c r="G32" s="110">
        <f t="shared" si="5"/>
        <v>0.26723181192308226</v>
      </c>
      <c r="H32" s="115">
        <f t="shared" si="0"/>
        <v>2344.0930261282278</v>
      </c>
      <c r="I32" s="113">
        <f t="shared" si="6"/>
        <v>87.717589057209352</v>
      </c>
      <c r="J32" s="113">
        <f t="shared" si="7"/>
        <v>1744.1997776154196</v>
      </c>
      <c r="K32" s="115">
        <f t="shared" si="9"/>
        <v>87.717589057209352</v>
      </c>
      <c r="L32" s="113">
        <f t="shared" si="10"/>
        <v>1744.1997776154196</v>
      </c>
      <c r="M32" s="135"/>
      <c r="N32" s="126"/>
      <c r="O32" s="126"/>
      <c r="P32" s="126"/>
      <c r="Q32" s="126"/>
      <c r="R32" s="126"/>
    </row>
    <row r="33" spans="1:18" x14ac:dyDescent="0.25">
      <c r="A33" s="100">
        <v>20</v>
      </c>
      <c r="B33" s="101">
        <f t="shared" si="8"/>
        <v>8727.900111192288</v>
      </c>
      <c r="C33" s="102">
        <f t="shared" si="1"/>
        <v>0.2658849253403901</v>
      </c>
      <c r="D33" s="146">
        <f t="shared" si="2"/>
        <v>0.2658849253403901</v>
      </c>
      <c r="E33" s="99">
        <f t="shared" si="3"/>
        <v>-2320.6170694427437</v>
      </c>
      <c r="F33" s="103">
        <f t="shared" si="4"/>
        <v>0.25588492534039009</v>
      </c>
      <c r="G33" s="103">
        <f t="shared" si="5"/>
        <v>0.27588492534039011</v>
      </c>
      <c r="H33" s="99">
        <f t="shared" si="0"/>
        <v>2407.8960705546669</v>
      </c>
      <c r="I33" s="99">
        <f t="shared" si="6"/>
        <v>87.279001111923208</v>
      </c>
      <c r="J33" s="99">
        <f t="shared" si="7"/>
        <v>1831.4787787273428</v>
      </c>
      <c r="K33" s="99">
        <f t="shared" si="9"/>
        <v>87.279001111923208</v>
      </c>
      <c r="L33" s="99">
        <f t="shared" si="10"/>
        <v>1831.4787787273428</v>
      </c>
      <c r="M33" s="135"/>
      <c r="N33" s="126"/>
      <c r="O33" s="126"/>
      <c r="P33" s="126"/>
      <c r="Q33" s="126"/>
      <c r="R33" s="126"/>
    </row>
    <row r="34" spans="1:18" x14ac:dyDescent="0.25">
      <c r="A34" s="111">
        <v>21</v>
      </c>
      <c r="B34" s="112">
        <f t="shared" si="8"/>
        <v>8684.2606106363273</v>
      </c>
      <c r="C34" s="114">
        <f t="shared" si="1"/>
        <v>0.27484089772730375</v>
      </c>
      <c r="D34" s="117">
        <f t="shared" si="2"/>
        <v>0.27484089772730375</v>
      </c>
      <c r="E34" s="115">
        <f t="shared" si="3"/>
        <v>-2386.7899823251514</v>
      </c>
      <c r="F34" s="110">
        <f t="shared" si="4"/>
        <v>0.26484089772730374</v>
      </c>
      <c r="G34" s="110">
        <f t="shared" si="5"/>
        <v>0.28484089772730375</v>
      </c>
      <c r="H34" s="115">
        <f t="shared" si="0"/>
        <v>2473.6325884315147</v>
      </c>
      <c r="I34" s="113">
        <f t="shared" si="6"/>
        <v>86.842606106363291</v>
      </c>
      <c r="J34" s="113">
        <f t="shared" si="7"/>
        <v>1918.3213848337061</v>
      </c>
      <c r="K34" s="115">
        <f t="shared" si="9"/>
        <v>86.842606106363291</v>
      </c>
      <c r="L34" s="113">
        <f t="shared" si="10"/>
        <v>1918.3213848337061</v>
      </c>
      <c r="M34" s="135"/>
      <c r="N34" s="126"/>
      <c r="O34" s="126"/>
      <c r="P34" s="126"/>
      <c r="Q34" s="126"/>
      <c r="R34" s="126"/>
    </row>
    <row r="35" spans="1:18" x14ac:dyDescent="0.25">
      <c r="A35" s="111">
        <v>22</v>
      </c>
      <c r="B35" s="112">
        <f t="shared" si="8"/>
        <v>8640.8393075831464</v>
      </c>
      <c r="C35" s="114">
        <f t="shared" si="1"/>
        <v>0.28411032914775936</v>
      </c>
      <c r="D35" s="117">
        <f t="shared" si="2"/>
        <v>0.28411032914775936</v>
      </c>
      <c r="E35" s="115">
        <f t="shared" si="3"/>
        <v>-2454.9516997903447</v>
      </c>
      <c r="F35" s="110">
        <f t="shared" si="4"/>
        <v>0.27411032914775935</v>
      </c>
      <c r="G35" s="110">
        <f t="shared" si="5"/>
        <v>0.29411032914775936</v>
      </c>
      <c r="H35" s="115">
        <f t="shared" si="0"/>
        <v>2541.3600928661763</v>
      </c>
      <c r="I35" s="113">
        <f t="shared" si="6"/>
        <v>86.408393075831555</v>
      </c>
      <c r="J35" s="113">
        <f t="shared" si="7"/>
        <v>2004.7297779095377</v>
      </c>
      <c r="K35" s="115">
        <f t="shared" si="9"/>
        <v>86.408393075831555</v>
      </c>
      <c r="L35" s="113">
        <f t="shared" si="10"/>
        <v>2004.7297779095377</v>
      </c>
      <c r="M35" s="135"/>
      <c r="N35" s="126"/>
      <c r="O35" s="126"/>
      <c r="P35" s="126"/>
      <c r="Q35" s="126"/>
      <c r="R35" s="126"/>
    </row>
    <row r="36" spans="1:18" x14ac:dyDescent="0.25">
      <c r="A36" s="111">
        <v>23</v>
      </c>
      <c r="B36" s="112">
        <f t="shared" si="8"/>
        <v>8597.6351110452306</v>
      </c>
      <c r="C36" s="114">
        <f t="shared" si="1"/>
        <v>0.29370419066793091</v>
      </c>
      <c r="D36" s="117">
        <f t="shared" si="2"/>
        <v>0.29370419066793091</v>
      </c>
      <c r="E36" s="115">
        <f t="shared" si="3"/>
        <v>-2525.1614619477259</v>
      </c>
      <c r="F36" s="110">
        <f t="shared" si="4"/>
        <v>0.2837041906679309</v>
      </c>
      <c r="G36" s="110">
        <f t="shared" si="5"/>
        <v>0.30370419066793092</v>
      </c>
      <c r="H36" s="115">
        <f t="shared" si="0"/>
        <v>2611.1378130581779</v>
      </c>
      <c r="I36" s="113">
        <f t="shared" si="6"/>
        <v>85.976351110452015</v>
      </c>
      <c r="J36" s="113">
        <f t="shared" si="7"/>
        <v>2090.7061290199899</v>
      </c>
      <c r="K36" s="115">
        <f t="shared" si="9"/>
        <v>85.976351110452015</v>
      </c>
      <c r="L36" s="113">
        <f t="shared" si="10"/>
        <v>2090.7061290199899</v>
      </c>
      <c r="M36" s="135"/>
      <c r="N36" s="126"/>
      <c r="O36" s="126"/>
      <c r="P36" s="126"/>
      <c r="Q36" s="126"/>
      <c r="R36" s="126"/>
    </row>
    <row r="37" spans="1:18" x14ac:dyDescent="0.25">
      <c r="A37" s="111">
        <v>24</v>
      </c>
      <c r="B37" s="112">
        <f t="shared" si="8"/>
        <v>8554.6469354900037</v>
      </c>
      <c r="C37" s="114">
        <f t="shared" si="1"/>
        <v>0.30363383734130844</v>
      </c>
      <c r="D37" s="117">
        <f t="shared" si="2"/>
        <v>0.30363383734130844</v>
      </c>
      <c r="E37" s="115">
        <f t="shared" si="3"/>
        <v>-2597.4802761228943</v>
      </c>
      <c r="F37" s="110">
        <f t="shared" si="4"/>
        <v>0.29363383734130843</v>
      </c>
      <c r="G37" s="110">
        <f t="shared" si="5"/>
        <v>0.31363383734130845</v>
      </c>
      <c r="H37" s="115">
        <f t="shared" si="0"/>
        <v>2683.0267454777945</v>
      </c>
      <c r="I37" s="113">
        <f t="shared" si="6"/>
        <v>85.546469354900182</v>
      </c>
      <c r="J37" s="113">
        <f t="shared" si="7"/>
        <v>2176.2525983748901</v>
      </c>
      <c r="K37" s="115">
        <f t="shared" si="9"/>
        <v>85.546469354900182</v>
      </c>
      <c r="L37" s="113">
        <f t="shared" si="10"/>
        <v>2176.2525983748901</v>
      </c>
      <c r="M37" s="135"/>
      <c r="N37" s="126"/>
      <c r="O37" s="126"/>
      <c r="P37" s="126"/>
      <c r="Q37" s="126"/>
      <c r="R37" s="126"/>
    </row>
    <row r="38" spans="1:18" x14ac:dyDescent="0.25">
      <c r="A38" s="100">
        <v>25</v>
      </c>
      <c r="B38" s="101">
        <f t="shared" si="8"/>
        <v>8511.8737008125536</v>
      </c>
      <c r="C38" s="102">
        <f t="shared" si="1"/>
        <v>0.31391102164825424</v>
      </c>
      <c r="D38" s="146">
        <f t="shared" si="2"/>
        <v>0.31391102164825424</v>
      </c>
      <c r="E38" s="99">
        <f t="shared" si="3"/>
        <v>-2671.9709695629754</v>
      </c>
      <c r="F38" s="103">
        <f t="shared" si="4"/>
        <v>0.30391102164825423</v>
      </c>
      <c r="G38" s="103">
        <f t="shared" si="5"/>
        <v>0.32391102164825425</v>
      </c>
      <c r="H38" s="99">
        <f t="shared" si="0"/>
        <v>2757.089706571101</v>
      </c>
      <c r="I38" s="99">
        <f t="shared" si="6"/>
        <v>85.118737008125663</v>
      </c>
      <c r="J38" s="99">
        <f t="shared" si="7"/>
        <v>2261.3713353830158</v>
      </c>
      <c r="K38" s="99">
        <f t="shared" si="9"/>
        <v>85.118737008125663</v>
      </c>
      <c r="L38" s="99">
        <f t="shared" si="10"/>
        <v>2261.3713353830158</v>
      </c>
      <c r="M38" s="126"/>
      <c r="N38" s="126"/>
      <c r="O38" s="126"/>
      <c r="P38" s="126"/>
      <c r="Q38" s="126"/>
      <c r="R38" s="126"/>
    </row>
    <row r="39" spans="1:18" x14ac:dyDescent="0.25">
      <c r="A39" s="126"/>
      <c r="B39" s="126"/>
      <c r="C39" s="126"/>
      <c r="D39" s="126"/>
      <c r="E39" s="126"/>
      <c r="F39" s="126"/>
      <c r="G39" s="126"/>
      <c r="H39" s="127"/>
      <c r="I39" s="126"/>
      <c r="J39" s="126"/>
      <c r="K39" s="126"/>
      <c r="L39" s="126"/>
      <c r="M39" s="126"/>
      <c r="N39" s="126"/>
      <c r="O39" s="126"/>
      <c r="P39" s="126"/>
      <c r="Q39" s="126"/>
      <c r="R39" s="126"/>
    </row>
    <row r="40" spans="1:18" x14ac:dyDescent="0.25">
      <c r="A40" s="126"/>
      <c r="B40" s="126"/>
      <c r="C40" s="126"/>
      <c r="D40" s="126"/>
      <c r="E40" s="126"/>
      <c r="F40" s="126"/>
      <c r="G40" s="126"/>
      <c r="H40" s="126"/>
      <c r="I40" s="126"/>
      <c r="J40" s="126"/>
      <c r="K40" s="126"/>
      <c r="L40" s="126"/>
      <c r="M40" s="126"/>
      <c r="N40" s="126"/>
      <c r="O40" s="126"/>
      <c r="P40" s="126"/>
      <c r="Q40" s="126"/>
      <c r="R40" s="126"/>
    </row>
    <row r="41" spans="1:18" x14ac:dyDescent="0.25">
      <c r="A41" s="126"/>
      <c r="B41" s="126"/>
      <c r="C41" s="126"/>
      <c r="D41" s="126"/>
      <c r="E41" s="126"/>
      <c r="F41" s="126"/>
      <c r="G41" s="126"/>
      <c r="H41" s="126"/>
      <c r="I41" s="126"/>
      <c r="J41" s="126"/>
      <c r="K41" s="126"/>
      <c r="L41" s="126"/>
      <c r="M41" s="126"/>
      <c r="N41" s="126"/>
      <c r="O41" s="126"/>
      <c r="P41" s="126"/>
      <c r="Q41" s="126"/>
      <c r="R41" s="126"/>
    </row>
    <row r="42" spans="1:18" x14ac:dyDescent="0.25">
      <c r="A42" s="126"/>
      <c r="B42" s="126"/>
      <c r="C42" s="126"/>
      <c r="D42" s="126"/>
      <c r="E42" s="126"/>
      <c r="F42" s="126"/>
      <c r="G42" s="126"/>
      <c r="H42" s="126"/>
      <c r="I42" s="126"/>
      <c r="J42" s="126"/>
      <c r="K42" s="126"/>
      <c r="L42" s="126"/>
      <c r="M42" s="126"/>
      <c r="N42" s="126"/>
      <c r="O42" s="126"/>
      <c r="P42" s="126"/>
      <c r="Q42" s="126"/>
      <c r="R42" s="126"/>
    </row>
  </sheetData>
  <mergeCells count="20">
    <mergeCell ref="A5:C5"/>
    <mergeCell ref="E5:J5"/>
    <mergeCell ref="A6:C6"/>
    <mergeCell ref="E6:J6"/>
    <mergeCell ref="A2:D2"/>
    <mergeCell ref="E2:J2"/>
    <mergeCell ref="A3:C3"/>
    <mergeCell ref="E3:J3"/>
    <mergeCell ref="A4:C4"/>
    <mergeCell ref="E4:J4"/>
    <mergeCell ref="A7:C7"/>
    <mergeCell ref="E7:J7"/>
    <mergeCell ref="A11:C11"/>
    <mergeCell ref="E11:J11"/>
    <mergeCell ref="A8:C8"/>
    <mergeCell ref="E8:J8"/>
    <mergeCell ref="A9:C9"/>
    <mergeCell ref="E9:J9"/>
    <mergeCell ref="A10:C10"/>
    <mergeCell ref="E10:J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workbookViewId="0">
      <selection activeCell="A2" sqref="A2:D2"/>
    </sheetView>
  </sheetViews>
  <sheetFormatPr defaultColWidth="8.85546875" defaultRowHeight="15" x14ac:dyDescent="0.25"/>
  <cols>
    <col min="1" max="1" width="9.140625" style="106" customWidth="1"/>
    <col min="2" max="2" width="11.28515625" style="106" customWidth="1"/>
    <col min="3" max="3" width="15.7109375" style="106" customWidth="1"/>
    <col min="4" max="4" width="13.7109375" style="106" customWidth="1"/>
    <col min="5" max="5" width="11.85546875" style="106" customWidth="1"/>
    <col min="6" max="6" width="13.42578125" style="106" customWidth="1"/>
    <col min="7" max="7" width="14" style="106" customWidth="1"/>
    <col min="8" max="8" width="11.7109375" style="106" customWidth="1"/>
    <col min="9" max="9" width="12.85546875" style="106" customWidth="1"/>
    <col min="10" max="10" width="12.42578125" style="106" customWidth="1"/>
    <col min="11" max="11" width="15.28515625" style="106" customWidth="1"/>
    <col min="12" max="12" width="13.42578125" style="106" customWidth="1"/>
    <col min="13" max="16384" width="8.85546875" style="106"/>
  </cols>
  <sheetData>
    <row r="1" spans="1:18" s="118" customFormat="1" ht="30" customHeight="1" x14ac:dyDescent="0.25">
      <c r="A1" s="122" t="s">
        <v>74</v>
      </c>
      <c r="B1" s="123" t="s">
        <v>134</v>
      </c>
      <c r="C1" s="123"/>
      <c r="D1" s="123"/>
      <c r="E1" s="123"/>
      <c r="F1" s="123"/>
      <c r="G1" s="123"/>
      <c r="H1" s="123"/>
      <c r="I1" s="123"/>
      <c r="J1" s="134"/>
      <c r="K1" s="128"/>
      <c r="L1" s="128"/>
      <c r="M1" s="128"/>
      <c r="N1" s="128"/>
      <c r="O1" s="128"/>
      <c r="P1" s="128"/>
      <c r="Q1" s="128"/>
      <c r="R1" s="128"/>
    </row>
    <row r="2" spans="1:18" s="107" customFormat="1" x14ac:dyDescent="0.25">
      <c r="A2" s="210" t="s">
        <v>75</v>
      </c>
      <c r="B2" s="210"/>
      <c r="C2" s="210"/>
      <c r="D2" s="210"/>
      <c r="E2" s="211" t="s">
        <v>54</v>
      </c>
      <c r="F2" s="211"/>
      <c r="G2" s="211"/>
      <c r="H2" s="211"/>
      <c r="I2" s="211"/>
      <c r="J2" s="211"/>
      <c r="K2" s="129"/>
      <c r="L2" s="129"/>
      <c r="M2" s="129"/>
      <c r="N2" s="129"/>
      <c r="O2" s="129"/>
      <c r="P2" s="129"/>
      <c r="Q2" s="129"/>
      <c r="R2" s="129"/>
    </row>
    <row r="3" spans="1:18" ht="14.45" customHeight="1" x14ac:dyDescent="0.25">
      <c r="A3" s="212" t="s">
        <v>101</v>
      </c>
      <c r="B3" s="213"/>
      <c r="C3" s="214"/>
      <c r="D3" s="137">
        <f>'Xcel CSG Calculator'!H7</f>
        <v>9600</v>
      </c>
      <c r="E3" s="215" t="s">
        <v>102</v>
      </c>
      <c r="F3" s="215"/>
      <c r="G3" s="215"/>
      <c r="H3" s="215"/>
      <c r="I3" s="215"/>
      <c r="J3" s="215"/>
      <c r="K3" s="126"/>
      <c r="L3" s="126"/>
      <c r="M3" s="126"/>
      <c r="N3" s="126"/>
      <c r="O3" s="126"/>
      <c r="P3" s="126"/>
      <c r="Q3" s="126"/>
      <c r="R3" s="126"/>
    </row>
    <row r="4" spans="1:18" x14ac:dyDescent="0.25">
      <c r="A4" s="217" t="s">
        <v>77</v>
      </c>
      <c r="B4" s="217"/>
      <c r="C4" s="217"/>
      <c r="D4" s="132">
        <f>D14</f>
        <v>0.14509999999999998</v>
      </c>
      <c r="E4" s="217"/>
      <c r="F4" s="217"/>
      <c r="G4" s="217"/>
      <c r="H4" s="217"/>
      <c r="I4" s="217"/>
      <c r="J4" s="217"/>
      <c r="K4" s="126"/>
      <c r="L4" s="126"/>
      <c r="M4" s="126"/>
      <c r="N4" s="126"/>
      <c r="O4" s="126"/>
      <c r="P4" s="126"/>
      <c r="Q4" s="126"/>
      <c r="R4" s="126"/>
    </row>
    <row r="5" spans="1:18" x14ac:dyDescent="0.25">
      <c r="A5" s="217" t="s">
        <v>79</v>
      </c>
      <c r="B5" s="217"/>
      <c r="C5" s="217"/>
      <c r="D5" s="136">
        <f>'Xcel CSG Calculator'!H8</f>
        <v>0.1331</v>
      </c>
      <c r="E5" s="217" t="s">
        <v>80</v>
      </c>
      <c r="F5" s="217"/>
      <c r="G5" s="217"/>
      <c r="H5" s="217"/>
      <c r="I5" s="217"/>
      <c r="J5" s="217"/>
      <c r="K5" s="126"/>
      <c r="L5" s="126"/>
      <c r="M5" s="126"/>
      <c r="N5" s="126"/>
      <c r="O5" s="126"/>
      <c r="P5" s="126"/>
      <c r="Q5" s="126"/>
      <c r="R5" s="126"/>
    </row>
    <row r="6" spans="1:18" x14ac:dyDescent="0.25">
      <c r="A6" s="217" t="s">
        <v>81</v>
      </c>
      <c r="B6" s="217"/>
      <c r="C6" s="217"/>
      <c r="D6" s="133">
        <f>'Xcel CSG Calculator'!H9</f>
        <v>0.02</v>
      </c>
      <c r="E6" s="217" t="s">
        <v>82</v>
      </c>
      <c r="F6" s="217"/>
      <c r="G6" s="217"/>
      <c r="H6" s="217"/>
      <c r="I6" s="217"/>
      <c r="J6" s="217"/>
      <c r="K6" s="126"/>
      <c r="L6" s="126"/>
      <c r="M6" s="126"/>
      <c r="N6" s="126"/>
      <c r="O6" s="126"/>
      <c r="P6" s="126"/>
      <c r="Q6" s="126"/>
      <c r="R6" s="126"/>
    </row>
    <row r="7" spans="1:18" x14ac:dyDescent="0.25">
      <c r="A7" s="217" t="s">
        <v>85</v>
      </c>
      <c r="B7" s="217"/>
      <c r="C7" s="217"/>
      <c r="D7" s="131">
        <v>5.0000000000000001E-3</v>
      </c>
      <c r="E7" s="217" t="s">
        <v>86</v>
      </c>
      <c r="F7" s="217"/>
      <c r="G7" s="217"/>
      <c r="H7" s="217"/>
      <c r="I7" s="217"/>
      <c r="J7" s="217"/>
      <c r="K7" s="126"/>
      <c r="L7" s="126"/>
      <c r="M7" s="126"/>
      <c r="N7" s="126"/>
      <c r="O7" s="126"/>
      <c r="P7" s="126"/>
      <c r="Q7" s="126"/>
      <c r="R7" s="126"/>
    </row>
    <row r="8" spans="1:18" x14ac:dyDescent="0.25">
      <c r="A8" s="217" t="s">
        <v>87</v>
      </c>
      <c r="B8" s="217"/>
      <c r="C8" s="217"/>
      <c r="D8" s="131">
        <f>'Xcel CSG Calculator'!H10</f>
        <v>3.5000000000000003E-2</v>
      </c>
      <c r="E8" s="217" t="s">
        <v>103</v>
      </c>
      <c r="F8" s="217"/>
      <c r="G8" s="217"/>
      <c r="H8" s="217"/>
      <c r="I8" s="217"/>
      <c r="J8" s="217"/>
      <c r="K8" s="126"/>
      <c r="L8" s="126"/>
      <c r="M8" s="126"/>
      <c r="N8" s="126"/>
      <c r="O8" s="126"/>
      <c r="P8" s="126"/>
      <c r="Q8" s="126"/>
      <c r="R8" s="126"/>
    </row>
    <row r="9" spans="1:18" x14ac:dyDescent="0.25">
      <c r="A9" s="217" t="s">
        <v>104</v>
      </c>
      <c r="B9" s="217"/>
      <c r="C9" s="217"/>
      <c r="D9" s="140">
        <f>'Xcel CSG Calculator'!H24</f>
        <v>8.0000000000000002E-3</v>
      </c>
      <c r="E9" s="217" t="s">
        <v>105</v>
      </c>
      <c r="F9" s="217"/>
      <c r="G9" s="217"/>
      <c r="H9" s="217"/>
      <c r="I9" s="217"/>
      <c r="J9" s="217"/>
      <c r="K9" s="126"/>
      <c r="L9" s="126"/>
      <c r="M9" s="126"/>
      <c r="N9" s="126"/>
      <c r="O9" s="126"/>
      <c r="P9" s="126"/>
      <c r="Q9" s="126"/>
      <c r="R9" s="126"/>
    </row>
    <row r="10" spans="1:18" x14ac:dyDescent="0.25">
      <c r="A10" s="217" t="s">
        <v>106</v>
      </c>
      <c r="B10" s="217"/>
      <c r="C10" s="217"/>
      <c r="D10" s="139">
        <f>'Xcel CSG Calculator'!I24</f>
        <v>0</v>
      </c>
      <c r="E10" s="217" t="s">
        <v>107</v>
      </c>
      <c r="F10" s="217"/>
      <c r="G10" s="217"/>
      <c r="H10" s="217"/>
      <c r="I10" s="217"/>
      <c r="J10" s="217"/>
      <c r="K10" s="126"/>
      <c r="L10" s="126"/>
      <c r="M10" s="126"/>
      <c r="N10" s="126"/>
      <c r="O10" s="126"/>
      <c r="P10" s="126"/>
      <c r="Q10" s="126"/>
      <c r="R10" s="126"/>
    </row>
    <row r="11" spans="1:18" x14ac:dyDescent="0.25">
      <c r="A11" s="217" t="s">
        <v>18</v>
      </c>
      <c r="B11" s="217"/>
      <c r="C11" s="217"/>
      <c r="D11" s="131">
        <f>'Xcel CSG Calculator'!H11</f>
        <v>0</v>
      </c>
      <c r="E11" s="217" t="s">
        <v>89</v>
      </c>
      <c r="F11" s="217"/>
      <c r="G11" s="217"/>
      <c r="H11" s="217"/>
      <c r="I11" s="217"/>
      <c r="J11" s="217"/>
      <c r="K11" s="126"/>
      <c r="L11" s="126"/>
      <c r="M11" s="126"/>
      <c r="N11" s="126"/>
      <c r="O11" s="126"/>
      <c r="P11" s="126"/>
      <c r="Q11" s="126"/>
      <c r="R11" s="126"/>
    </row>
    <row r="12" spans="1:18" s="108" customFormat="1" x14ac:dyDescent="0.25">
      <c r="A12" s="124"/>
      <c r="B12" s="124"/>
      <c r="C12" s="124"/>
      <c r="D12" s="125"/>
      <c r="E12" s="125"/>
      <c r="F12" s="125"/>
      <c r="G12" s="125"/>
      <c r="H12" s="125"/>
      <c r="I12" s="125"/>
      <c r="J12" s="125"/>
      <c r="K12" s="130"/>
      <c r="L12" s="130"/>
      <c r="M12" s="130"/>
      <c r="N12" s="130"/>
      <c r="O12" s="130"/>
      <c r="P12" s="130"/>
      <c r="Q12" s="130"/>
      <c r="R12" s="130"/>
    </row>
    <row r="13" spans="1:18" ht="60" x14ac:dyDescent="0.25">
      <c r="A13" s="109" t="s">
        <v>90</v>
      </c>
      <c r="B13" s="109" t="s">
        <v>91</v>
      </c>
      <c r="C13" s="109" t="s">
        <v>108</v>
      </c>
      <c r="D13" s="109" t="s">
        <v>109</v>
      </c>
      <c r="E13" s="116" t="s">
        <v>93</v>
      </c>
      <c r="F13" s="109" t="s">
        <v>94</v>
      </c>
      <c r="G13" s="109" t="s">
        <v>95</v>
      </c>
      <c r="H13" s="116" t="s">
        <v>96</v>
      </c>
      <c r="I13" s="109" t="s">
        <v>97</v>
      </c>
      <c r="J13" s="109" t="s">
        <v>98</v>
      </c>
      <c r="K13" s="116" t="s">
        <v>99</v>
      </c>
      <c r="L13" s="109" t="s">
        <v>100</v>
      </c>
      <c r="M13" s="135"/>
      <c r="N13" s="126"/>
      <c r="O13" s="126"/>
      <c r="P13" s="126"/>
      <c r="Q13" s="126"/>
      <c r="R13" s="126"/>
    </row>
    <row r="14" spans="1:18" x14ac:dyDescent="0.25">
      <c r="A14" s="111">
        <v>1</v>
      </c>
      <c r="B14" s="112">
        <f>$D$3</f>
        <v>9600</v>
      </c>
      <c r="C14" s="114">
        <f>G14-$D$9</f>
        <v>0.14509999999999998</v>
      </c>
      <c r="D14" s="117">
        <f>IF(C14&lt;$D$10,$D$10,C14)</f>
        <v>0.14509999999999998</v>
      </c>
      <c r="E14" s="115">
        <f>B14*D14*-1</f>
        <v>-1392.9599999999998</v>
      </c>
      <c r="F14" s="110">
        <f>D5</f>
        <v>0.1331</v>
      </c>
      <c r="G14" s="110">
        <f>F14+$D$6</f>
        <v>0.15309999999999999</v>
      </c>
      <c r="H14" s="115">
        <f t="shared" ref="H14:H38" si="0">B14*G14</f>
        <v>1469.7599999999998</v>
      </c>
      <c r="I14" s="113">
        <f>E14+H14</f>
        <v>76.799999999999955</v>
      </c>
      <c r="J14" s="113">
        <f>I14</f>
        <v>76.799999999999955</v>
      </c>
      <c r="K14" s="115">
        <f>I14/(1+$D$11)^($A14-1)</f>
        <v>76.799999999999955</v>
      </c>
      <c r="L14" s="113">
        <f>K14</f>
        <v>76.799999999999955</v>
      </c>
      <c r="M14" s="135"/>
      <c r="N14" s="126"/>
      <c r="O14" s="126"/>
      <c r="P14" s="126"/>
      <c r="Q14" s="126"/>
      <c r="R14" s="126"/>
    </row>
    <row r="15" spans="1:18" x14ac:dyDescent="0.25">
      <c r="A15" s="111">
        <v>2</v>
      </c>
      <c r="B15" s="112">
        <f>B14*(1-$D$7)</f>
        <v>9552</v>
      </c>
      <c r="C15" s="114">
        <f t="shared" ref="C15:C38" si="1">G15-$D$9</f>
        <v>0.14975849999999996</v>
      </c>
      <c r="D15" s="117">
        <f t="shared" ref="D15:D38" si="2">IF(C15&lt;$D$10,$D$10,C15)</f>
        <v>0.14975849999999996</v>
      </c>
      <c r="E15" s="115">
        <f t="shared" ref="E15:E38" si="3">B15*D15*-1</f>
        <v>-1430.4931919999997</v>
      </c>
      <c r="F15" s="110">
        <f t="shared" ref="F15:F38" si="4">F14*(1+$D$8)</f>
        <v>0.13775849999999998</v>
      </c>
      <c r="G15" s="110">
        <f t="shared" ref="G15:G38" si="5">F15+$D$6</f>
        <v>0.15775849999999997</v>
      </c>
      <c r="H15" s="115">
        <f t="shared" si="0"/>
        <v>1506.9091919999996</v>
      </c>
      <c r="I15" s="113">
        <f t="shared" ref="I15:I38" si="6">E15+H15</f>
        <v>76.41599999999994</v>
      </c>
      <c r="J15" s="113">
        <f t="shared" ref="J15:J38" si="7">J14+I15</f>
        <v>153.21599999999989</v>
      </c>
      <c r="K15" s="115">
        <f>I15/(1+$D$11)^($A15-1)</f>
        <v>76.41599999999994</v>
      </c>
      <c r="L15" s="113">
        <f>K15+L14</f>
        <v>153.21599999999989</v>
      </c>
      <c r="M15" s="135"/>
      <c r="N15" s="126"/>
      <c r="O15" s="126"/>
      <c r="P15" s="126"/>
      <c r="Q15" s="126"/>
      <c r="R15" s="126"/>
    </row>
    <row r="16" spans="1:18" x14ac:dyDescent="0.25">
      <c r="A16" s="111">
        <v>3</v>
      </c>
      <c r="B16" s="112">
        <f t="shared" ref="B16:B38" si="8">B15*(1-$D$7)</f>
        <v>9504.24</v>
      </c>
      <c r="C16" s="114">
        <f t="shared" si="1"/>
        <v>0.15458004749999996</v>
      </c>
      <c r="D16" s="117">
        <f t="shared" si="2"/>
        <v>0.15458004749999996</v>
      </c>
      <c r="E16" s="115">
        <f t="shared" si="3"/>
        <v>-1469.1658706513995</v>
      </c>
      <c r="F16" s="110">
        <f t="shared" si="4"/>
        <v>0.14258004749999997</v>
      </c>
      <c r="G16" s="110">
        <f t="shared" si="5"/>
        <v>0.16258004749999996</v>
      </c>
      <c r="H16" s="115">
        <f t="shared" si="0"/>
        <v>1545.1997906513996</v>
      </c>
      <c r="I16" s="113">
        <f t="shared" si="6"/>
        <v>76.03392000000008</v>
      </c>
      <c r="J16" s="113">
        <f t="shared" si="7"/>
        <v>229.24991999999997</v>
      </c>
      <c r="K16" s="115">
        <f t="shared" ref="K16:K38" si="9">I16/(1+$D$11)^($A16-1)</f>
        <v>76.03392000000008</v>
      </c>
      <c r="L16" s="113">
        <f t="shared" ref="L16:L38" si="10">K16+L15</f>
        <v>229.24991999999997</v>
      </c>
      <c r="M16" s="135"/>
      <c r="N16" s="126"/>
      <c r="O16" s="126"/>
      <c r="P16" s="126"/>
      <c r="Q16" s="126"/>
      <c r="R16" s="126"/>
    </row>
    <row r="17" spans="1:18" x14ac:dyDescent="0.25">
      <c r="A17" s="111">
        <v>4</v>
      </c>
      <c r="B17" s="112">
        <f t="shared" si="8"/>
        <v>9456.7188000000006</v>
      </c>
      <c r="C17" s="114">
        <f t="shared" si="1"/>
        <v>0.15957034916249993</v>
      </c>
      <c r="D17" s="117">
        <f t="shared" si="2"/>
        <v>0.15957034916249993</v>
      </c>
      <c r="E17" s="115">
        <f t="shared" si="3"/>
        <v>-1509.0119208475774</v>
      </c>
      <c r="F17" s="110">
        <f t="shared" si="4"/>
        <v>0.14757034916249995</v>
      </c>
      <c r="G17" s="110">
        <f t="shared" si="5"/>
        <v>0.16757034916249994</v>
      </c>
      <c r="H17" s="115">
        <f t="shared" si="0"/>
        <v>1584.6656712475776</v>
      </c>
      <c r="I17" s="113">
        <f t="shared" si="6"/>
        <v>75.653750400000263</v>
      </c>
      <c r="J17" s="113">
        <f t="shared" si="7"/>
        <v>304.90367040000024</v>
      </c>
      <c r="K17" s="115">
        <f t="shared" si="9"/>
        <v>75.653750400000263</v>
      </c>
      <c r="L17" s="113">
        <f t="shared" si="10"/>
        <v>304.90367040000024</v>
      </c>
      <c r="M17" s="135"/>
      <c r="N17" s="126"/>
      <c r="O17" s="126"/>
      <c r="P17" s="126"/>
      <c r="Q17" s="126"/>
      <c r="R17" s="126"/>
    </row>
    <row r="18" spans="1:18" x14ac:dyDescent="0.25">
      <c r="A18" s="100">
        <v>5</v>
      </c>
      <c r="B18" s="101">
        <f t="shared" si="8"/>
        <v>9409.4352060000001</v>
      </c>
      <c r="C18" s="102">
        <f t="shared" si="1"/>
        <v>0.16473531138318742</v>
      </c>
      <c r="D18" s="146">
        <f t="shared" si="2"/>
        <v>0.16473531138318742</v>
      </c>
      <c r="E18" s="99">
        <f t="shared" si="3"/>
        <v>-1550.0662386003362</v>
      </c>
      <c r="F18" s="103">
        <f t="shared" si="4"/>
        <v>0.15273531138318744</v>
      </c>
      <c r="G18" s="103">
        <f t="shared" si="5"/>
        <v>0.17273531138318743</v>
      </c>
      <c r="H18" s="99">
        <f t="shared" si="0"/>
        <v>1625.3417202483363</v>
      </c>
      <c r="I18" s="99">
        <f t="shared" si="6"/>
        <v>75.275481648000095</v>
      </c>
      <c r="J18" s="99">
        <f t="shared" si="7"/>
        <v>380.17915204800033</v>
      </c>
      <c r="K18" s="99">
        <f t="shared" si="9"/>
        <v>75.275481648000095</v>
      </c>
      <c r="L18" s="99">
        <f t="shared" si="10"/>
        <v>380.17915204800033</v>
      </c>
      <c r="M18" s="135"/>
      <c r="N18" s="126"/>
      <c r="O18" s="126"/>
      <c r="P18" s="126"/>
      <c r="Q18" s="126"/>
      <c r="R18" s="126"/>
    </row>
    <row r="19" spans="1:18" x14ac:dyDescent="0.25">
      <c r="A19" s="111">
        <v>6</v>
      </c>
      <c r="B19" s="112">
        <f t="shared" si="8"/>
        <v>9362.3880299699995</v>
      </c>
      <c r="C19" s="114">
        <f t="shared" si="1"/>
        <v>0.17008104728159898</v>
      </c>
      <c r="D19" s="117">
        <f t="shared" si="2"/>
        <v>0.17008104728159898</v>
      </c>
      <c r="E19" s="115">
        <f t="shared" si="3"/>
        <v>-1592.3647611940039</v>
      </c>
      <c r="F19" s="110">
        <f t="shared" si="4"/>
        <v>0.158081047281599</v>
      </c>
      <c r="G19" s="110">
        <f t="shared" si="5"/>
        <v>0.17808104728159899</v>
      </c>
      <c r="H19" s="115">
        <f t="shared" si="0"/>
        <v>1667.2638654337638</v>
      </c>
      <c r="I19" s="113">
        <f t="shared" si="6"/>
        <v>74.899104239759936</v>
      </c>
      <c r="J19" s="113">
        <f t="shared" si="7"/>
        <v>455.07825628776027</v>
      </c>
      <c r="K19" s="115">
        <f t="shared" si="9"/>
        <v>74.899104239759936</v>
      </c>
      <c r="L19" s="113">
        <f t="shared" si="10"/>
        <v>455.07825628776027</v>
      </c>
      <c r="M19" s="135"/>
      <c r="N19" s="126"/>
      <c r="O19" s="126"/>
      <c r="P19" s="126"/>
      <c r="Q19" s="126"/>
      <c r="R19" s="126"/>
    </row>
    <row r="20" spans="1:18" x14ac:dyDescent="0.25">
      <c r="A20" s="111">
        <v>7</v>
      </c>
      <c r="B20" s="112">
        <f t="shared" si="8"/>
        <v>9315.5760898201497</v>
      </c>
      <c r="C20" s="114">
        <f t="shared" si="1"/>
        <v>0.17561388393645494</v>
      </c>
      <c r="D20" s="117">
        <f t="shared" si="2"/>
        <v>0.17561388393645494</v>
      </c>
      <c r="E20" s="115">
        <f t="shared" si="3"/>
        <v>-1635.9444982388904</v>
      </c>
      <c r="F20" s="110">
        <f t="shared" si="4"/>
        <v>0.16361388393645496</v>
      </c>
      <c r="G20" s="110">
        <f t="shared" si="5"/>
        <v>0.18361388393645495</v>
      </c>
      <c r="H20" s="115">
        <f t="shared" si="0"/>
        <v>1710.4691069574517</v>
      </c>
      <c r="I20" s="113">
        <f t="shared" si="6"/>
        <v>74.52460871856124</v>
      </c>
      <c r="J20" s="113">
        <f t="shared" si="7"/>
        <v>529.60286500632151</v>
      </c>
      <c r="K20" s="115">
        <f t="shared" si="9"/>
        <v>74.52460871856124</v>
      </c>
      <c r="L20" s="113">
        <f t="shared" si="10"/>
        <v>529.60286500632151</v>
      </c>
      <c r="M20" s="135"/>
      <c r="N20" s="126"/>
      <c r="O20" s="126"/>
      <c r="P20" s="126"/>
      <c r="Q20" s="126"/>
      <c r="R20" s="126"/>
    </row>
    <row r="21" spans="1:18" x14ac:dyDescent="0.25">
      <c r="A21" s="111">
        <v>8</v>
      </c>
      <c r="B21" s="112">
        <f t="shared" si="8"/>
        <v>9268.9982093710496</v>
      </c>
      <c r="C21" s="114">
        <f t="shared" si="1"/>
        <v>0.18134036987423086</v>
      </c>
      <c r="D21" s="117">
        <f t="shared" si="2"/>
        <v>0.18134036987423086</v>
      </c>
      <c r="E21" s="115">
        <f t="shared" si="3"/>
        <v>-1680.8435636509296</v>
      </c>
      <c r="F21" s="110">
        <f t="shared" si="4"/>
        <v>0.16934036987423087</v>
      </c>
      <c r="G21" s="110">
        <f t="shared" si="5"/>
        <v>0.18934036987423086</v>
      </c>
      <c r="H21" s="115">
        <f t="shared" si="0"/>
        <v>1754.9955493258981</v>
      </c>
      <c r="I21" s="113">
        <f t="shared" si="6"/>
        <v>74.1519856749685</v>
      </c>
      <c r="J21" s="113">
        <f t="shared" si="7"/>
        <v>603.75485068129001</v>
      </c>
      <c r="K21" s="115">
        <f t="shared" si="9"/>
        <v>74.1519856749685</v>
      </c>
      <c r="L21" s="113">
        <f t="shared" si="10"/>
        <v>603.75485068129001</v>
      </c>
      <c r="M21" s="135"/>
      <c r="N21" s="126"/>
      <c r="O21" s="126"/>
      <c r="P21" s="126"/>
      <c r="Q21" s="126"/>
      <c r="R21" s="126"/>
    </row>
    <row r="22" spans="1:18" x14ac:dyDescent="0.25">
      <c r="A22" s="111">
        <v>9</v>
      </c>
      <c r="B22" s="112">
        <f t="shared" si="8"/>
        <v>9222.6532183241943</v>
      </c>
      <c r="C22" s="114">
        <f t="shared" si="1"/>
        <v>0.18726728281982893</v>
      </c>
      <c r="D22" s="117">
        <f t="shared" si="2"/>
        <v>0.18726728281982893</v>
      </c>
      <c r="E22" s="115">
        <f t="shared" si="3"/>
        <v>-1727.1012085851223</v>
      </c>
      <c r="F22" s="110">
        <f t="shared" si="4"/>
        <v>0.17526728281982895</v>
      </c>
      <c r="G22" s="110">
        <f t="shared" si="5"/>
        <v>0.19526728281982894</v>
      </c>
      <c r="H22" s="115">
        <f t="shared" si="0"/>
        <v>1800.882434331716</v>
      </c>
      <c r="I22" s="113">
        <f t="shared" si="6"/>
        <v>73.781225746593691</v>
      </c>
      <c r="J22" s="113">
        <f t="shared" si="7"/>
        <v>677.5360764278837</v>
      </c>
      <c r="K22" s="115">
        <f t="shared" si="9"/>
        <v>73.781225746593691</v>
      </c>
      <c r="L22" s="113">
        <f t="shared" si="10"/>
        <v>677.5360764278837</v>
      </c>
      <c r="M22" s="135"/>
      <c r="N22" s="126"/>
      <c r="O22" s="126"/>
      <c r="P22" s="126"/>
      <c r="Q22" s="126"/>
      <c r="R22" s="126"/>
    </row>
    <row r="23" spans="1:18" x14ac:dyDescent="0.25">
      <c r="A23" s="100">
        <v>10</v>
      </c>
      <c r="B23" s="101">
        <f t="shared" si="8"/>
        <v>9176.5399522325733</v>
      </c>
      <c r="C23" s="102">
        <f t="shared" si="1"/>
        <v>0.19340163771852292</v>
      </c>
      <c r="D23" s="146">
        <f t="shared" si="2"/>
        <v>0.19340163771852292</v>
      </c>
      <c r="E23" s="99">
        <f t="shared" si="3"/>
        <v>-1774.7578553512358</v>
      </c>
      <c r="F23" s="103">
        <f t="shared" si="4"/>
        <v>0.18140163771852294</v>
      </c>
      <c r="G23" s="103">
        <f t="shared" si="5"/>
        <v>0.20140163771852293</v>
      </c>
      <c r="H23" s="99">
        <f t="shared" si="0"/>
        <v>1848.1701749690965</v>
      </c>
      <c r="I23" s="99">
        <f t="shared" si="6"/>
        <v>73.412319617860703</v>
      </c>
      <c r="J23" s="99">
        <f t="shared" si="7"/>
        <v>750.9483960457444</v>
      </c>
      <c r="K23" s="99">
        <f t="shared" si="9"/>
        <v>73.412319617860703</v>
      </c>
      <c r="L23" s="99">
        <f t="shared" si="10"/>
        <v>750.9483960457444</v>
      </c>
      <c r="M23" s="135"/>
      <c r="N23" s="126"/>
      <c r="O23" s="126"/>
      <c r="P23" s="126"/>
      <c r="Q23" s="126"/>
      <c r="R23" s="126"/>
    </row>
    <row r="24" spans="1:18" x14ac:dyDescent="0.25">
      <c r="A24" s="111">
        <v>11</v>
      </c>
      <c r="B24" s="112">
        <f t="shared" si="8"/>
        <v>9130.6572524714102</v>
      </c>
      <c r="C24" s="114">
        <f t="shared" si="1"/>
        <v>0.19975069503867121</v>
      </c>
      <c r="D24" s="117">
        <f t="shared" si="2"/>
        <v>0.19975069503867121</v>
      </c>
      <c r="E24" s="115">
        <f t="shared" si="3"/>
        <v>-1823.8551323410481</v>
      </c>
      <c r="F24" s="110">
        <f t="shared" si="4"/>
        <v>0.18775069503867123</v>
      </c>
      <c r="G24" s="110">
        <f t="shared" si="5"/>
        <v>0.20775069503867122</v>
      </c>
      <c r="H24" s="115">
        <f t="shared" si="0"/>
        <v>1896.9003903608195</v>
      </c>
      <c r="I24" s="113">
        <f t="shared" si="6"/>
        <v>73.045258019771381</v>
      </c>
      <c r="J24" s="113">
        <f t="shared" si="7"/>
        <v>823.99365406551578</v>
      </c>
      <c r="K24" s="115">
        <f t="shared" si="9"/>
        <v>73.045258019771381</v>
      </c>
      <c r="L24" s="113">
        <f t="shared" si="10"/>
        <v>823.99365406551578</v>
      </c>
      <c r="M24" s="135"/>
      <c r="N24" s="126"/>
      <c r="O24" s="126"/>
      <c r="P24" s="126"/>
      <c r="Q24" s="126"/>
      <c r="R24" s="126"/>
    </row>
    <row r="25" spans="1:18" x14ac:dyDescent="0.25">
      <c r="A25" s="111">
        <v>12</v>
      </c>
      <c r="B25" s="112">
        <f t="shared" si="8"/>
        <v>9085.003966209053</v>
      </c>
      <c r="C25" s="114">
        <f t="shared" si="1"/>
        <v>0.2063219693650247</v>
      </c>
      <c r="D25" s="117">
        <f t="shared" si="2"/>
        <v>0.2063219693650247</v>
      </c>
      <c r="E25" s="115">
        <f t="shared" si="3"/>
        <v>-1874.4359099973121</v>
      </c>
      <c r="F25" s="110">
        <f t="shared" si="4"/>
        <v>0.19432196936502472</v>
      </c>
      <c r="G25" s="110">
        <f t="shared" si="5"/>
        <v>0.21432196936502471</v>
      </c>
      <c r="H25" s="115">
        <f t="shared" si="0"/>
        <v>1947.1159417269846</v>
      </c>
      <c r="I25" s="113">
        <f t="shared" si="6"/>
        <v>72.680031729672464</v>
      </c>
      <c r="J25" s="113">
        <f t="shared" si="7"/>
        <v>896.67368579518825</v>
      </c>
      <c r="K25" s="115">
        <f t="shared" si="9"/>
        <v>72.680031729672464</v>
      </c>
      <c r="L25" s="113">
        <f t="shared" si="10"/>
        <v>896.67368579518825</v>
      </c>
      <c r="M25" s="135"/>
      <c r="N25" s="126"/>
      <c r="O25" s="126"/>
      <c r="P25" s="126"/>
      <c r="Q25" s="126"/>
      <c r="R25" s="126"/>
    </row>
    <row r="26" spans="1:18" x14ac:dyDescent="0.25">
      <c r="A26" s="111">
        <v>13</v>
      </c>
      <c r="B26" s="112">
        <f t="shared" si="8"/>
        <v>9039.5789463780075</v>
      </c>
      <c r="C26" s="114">
        <f t="shared" si="1"/>
        <v>0.21312323829280055</v>
      </c>
      <c r="D26" s="117">
        <f t="shared" si="2"/>
        <v>0.21312323829280055</v>
      </c>
      <c r="E26" s="115">
        <f t="shared" si="3"/>
        <v>-1926.544337855503</v>
      </c>
      <c r="F26" s="110">
        <f t="shared" si="4"/>
        <v>0.20112323829280057</v>
      </c>
      <c r="G26" s="110">
        <f t="shared" si="5"/>
        <v>0.22112323829280056</v>
      </c>
      <c r="H26" s="115">
        <f t="shared" si="0"/>
        <v>1998.8609694265272</v>
      </c>
      <c r="I26" s="113">
        <f t="shared" si="6"/>
        <v>72.316631571024118</v>
      </c>
      <c r="J26" s="113">
        <f t="shared" si="7"/>
        <v>968.99031736621237</v>
      </c>
      <c r="K26" s="115">
        <f t="shared" si="9"/>
        <v>72.316631571024118</v>
      </c>
      <c r="L26" s="113">
        <f t="shared" si="10"/>
        <v>968.99031736621237</v>
      </c>
      <c r="M26" s="135"/>
      <c r="N26" s="126"/>
      <c r="O26" s="126"/>
      <c r="P26" s="126"/>
      <c r="Q26" s="126"/>
      <c r="R26" s="126"/>
    </row>
    <row r="27" spans="1:18" x14ac:dyDescent="0.25">
      <c r="A27" s="111">
        <v>14</v>
      </c>
      <c r="B27" s="112">
        <f t="shared" si="8"/>
        <v>8994.3810516461181</v>
      </c>
      <c r="C27" s="114">
        <f t="shared" si="1"/>
        <v>0.22016255163304857</v>
      </c>
      <c r="D27" s="117">
        <f t="shared" si="2"/>
        <v>0.22016255163304857</v>
      </c>
      <c r="E27" s="115">
        <f t="shared" si="3"/>
        <v>-1980.2258826903521</v>
      </c>
      <c r="F27" s="110">
        <f t="shared" si="4"/>
        <v>0.20816255163304859</v>
      </c>
      <c r="G27" s="110">
        <f t="shared" si="5"/>
        <v>0.22816255163304858</v>
      </c>
      <c r="H27" s="115">
        <f t="shared" si="0"/>
        <v>2052.1809311035213</v>
      </c>
      <c r="I27" s="113">
        <f t="shared" si="6"/>
        <v>71.955048413169152</v>
      </c>
      <c r="J27" s="113">
        <f t="shared" si="7"/>
        <v>1040.9453657793815</v>
      </c>
      <c r="K27" s="115">
        <f t="shared" si="9"/>
        <v>71.955048413169152</v>
      </c>
      <c r="L27" s="113">
        <f t="shared" si="10"/>
        <v>1040.9453657793815</v>
      </c>
      <c r="M27" s="135"/>
      <c r="N27" s="126"/>
      <c r="O27" s="126"/>
      <c r="P27" s="126"/>
      <c r="Q27" s="126"/>
      <c r="R27" s="126"/>
    </row>
    <row r="28" spans="1:18" x14ac:dyDescent="0.25">
      <c r="A28" s="100">
        <v>15</v>
      </c>
      <c r="B28" s="101">
        <f t="shared" si="8"/>
        <v>8949.4091463878867</v>
      </c>
      <c r="C28" s="102">
        <f t="shared" si="1"/>
        <v>0.22744824094020524</v>
      </c>
      <c r="D28" s="146">
        <f t="shared" si="2"/>
        <v>0.22744824094020524</v>
      </c>
      <c r="E28" s="99">
        <f t="shared" si="3"/>
        <v>-2035.5273678001086</v>
      </c>
      <c r="F28" s="103">
        <f t="shared" si="4"/>
        <v>0.21544824094020526</v>
      </c>
      <c r="G28" s="103">
        <f t="shared" si="5"/>
        <v>0.23544824094020525</v>
      </c>
      <c r="H28" s="99">
        <f t="shared" si="0"/>
        <v>2107.1226409712117</v>
      </c>
      <c r="I28" s="99">
        <f t="shared" si="6"/>
        <v>71.595273171103145</v>
      </c>
      <c r="J28" s="99">
        <f t="shared" si="7"/>
        <v>1112.5406389504847</v>
      </c>
      <c r="K28" s="99">
        <f t="shared" si="9"/>
        <v>71.595273171103145</v>
      </c>
      <c r="L28" s="99">
        <f t="shared" si="10"/>
        <v>1112.5406389504847</v>
      </c>
      <c r="M28" s="135"/>
      <c r="N28" s="126"/>
      <c r="O28" s="126"/>
      <c r="P28" s="126"/>
      <c r="Q28" s="126"/>
      <c r="R28" s="126"/>
    </row>
    <row r="29" spans="1:18" x14ac:dyDescent="0.25">
      <c r="A29" s="111">
        <v>16</v>
      </c>
      <c r="B29" s="112">
        <f t="shared" si="8"/>
        <v>8904.6621006559471</v>
      </c>
      <c r="C29" s="114">
        <f t="shared" si="1"/>
        <v>0.23498892937311242</v>
      </c>
      <c r="D29" s="117">
        <f t="shared" si="2"/>
        <v>0.23498892937311242</v>
      </c>
      <c r="E29" s="115">
        <f t="shared" si="3"/>
        <v>-2092.4970134624714</v>
      </c>
      <c r="F29" s="110">
        <f t="shared" si="4"/>
        <v>0.22298892937311243</v>
      </c>
      <c r="G29" s="110">
        <f t="shared" si="5"/>
        <v>0.24298892937311242</v>
      </c>
      <c r="H29" s="115">
        <f t="shared" si="0"/>
        <v>2163.7343102677187</v>
      </c>
      <c r="I29" s="113">
        <f t="shared" si="6"/>
        <v>71.237296805247297</v>
      </c>
      <c r="J29" s="113">
        <f t="shared" si="7"/>
        <v>1183.777935755732</v>
      </c>
      <c r="K29" s="115">
        <f t="shared" si="9"/>
        <v>71.237296805247297</v>
      </c>
      <c r="L29" s="113">
        <f t="shared" si="10"/>
        <v>1183.777935755732</v>
      </c>
      <c r="M29" s="135"/>
      <c r="N29" s="126"/>
      <c r="O29" s="126"/>
      <c r="P29" s="126"/>
      <c r="Q29" s="126"/>
      <c r="R29" s="126"/>
    </row>
    <row r="30" spans="1:18" x14ac:dyDescent="0.25">
      <c r="A30" s="111">
        <v>17</v>
      </c>
      <c r="B30" s="112">
        <f t="shared" si="8"/>
        <v>8860.1387901526668</v>
      </c>
      <c r="C30" s="114">
        <f t="shared" si="1"/>
        <v>0.24279354190117136</v>
      </c>
      <c r="D30" s="117">
        <f t="shared" si="2"/>
        <v>0.24279354190117136</v>
      </c>
      <c r="E30" s="115">
        <f t="shared" si="3"/>
        <v>-2151.1844785971252</v>
      </c>
      <c r="F30" s="110">
        <f t="shared" si="4"/>
        <v>0.23079354190117135</v>
      </c>
      <c r="G30" s="110">
        <f t="shared" si="5"/>
        <v>0.25079354190117137</v>
      </c>
      <c r="H30" s="115">
        <f t="shared" si="0"/>
        <v>2222.0655889183467</v>
      </c>
      <c r="I30" s="113">
        <f t="shared" si="6"/>
        <v>70.881110321221513</v>
      </c>
      <c r="J30" s="113">
        <f t="shared" si="7"/>
        <v>1254.6590460769535</v>
      </c>
      <c r="K30" s="115">
        <f t="shared" si="9"/>
        <v>70.881110321221513</v>
      </c>
      <c r="L30" s="113">
        <f t="shared" si="10"/>
        <v>1254.6590460769535</v>
      </c>
      <c r="M30" s="135"/>
      <c r="N30" s="126"/>
      <c r="O30" s="126"/>
      <c r="P30" s="126"/>
      <c r="Q30" s="126"/>
      <c r="R30" s="126"/>
    </row>
    <row r="31" spans="1:18" x14ac:dyDescent="0.25">
      <c r="A31" s="111">
        <v>18</v>
      </c>
      <c r="B31" s="112">
        <f t="shared" si="8"/>
        <v>8815.8380962019037</v>
      </c>
      <c r="C31" s="114">
        <f t="shared" si="1"/>
        <v>0.25087131586771233</v>
      </c>
      <c r="D31" s="117">
        <f t="shared" si="2"/>
        <v>0.25087131586771233</v>
      </c>
      <c r="E31" s="115">
        <f t="shared" si="3"/>
        <v>-2211.6409036708797</v>
      </c>
      <c r="F31" s="110">
        <f t="shared" si="4"/>
        <v>0.23887131586771232</v>
      </c>
      <c r="G31" s="110">
        <f t="shared" si="5"/>
        <v>0.25887131586771234</v>
      </c>
      <c r="H31" s="115">
        <f t="shared" si="0"/>
        <v>2282.1676084404949</v>
      </c>
      <c r="I31" s="113">
        <f t="shared" si="6"/>
        <v>70.526704769615208</v>
      </c>
      <c r="J31" s="113">
        <f t="shared" si="7"/>
        <v>1325.1857508465687</v>
      </c>
      <c r="K31" s="115">
        <f t="shared" si="9"/>
        <v>70.526704769615208</v>
      </c>
      <c r="L31" s="113">
        <f t="shared" si="10"/>
        <v>1325.1857508465687</v>
      </c>
      <c r="M31" s="135"/>
      <c r="N31" s="126"/>
      <c r="O31" s="126"/>
      <c r="P31" s="126"/>
      <c r="Q31" s="126"/>
      <c r="R31" s="126"/>
    </row>
    <row r="32" spans="1:18" x14ac:dyDescent="0.25">
      <c r="A32" s="111">
        <v>19</v>
      </c>
      <c r="B32" s="112">
        <f t="shared" si="8"/>
        <v>8771.7589057208934</v>
      </c>
      <c r="C32" s="114">
        <f t="shared" si="1"/>
        <v>0.25923181192308226</v>
      </c>
      <c r="D32" s="117">
        <f t="shared" si="2"/>
        <v>0.25923181192308226</v>
      </c>
      <c r="E32" s="115">
        <f t="shared" si="3"/>
        <v>-2273.9189548824606</v>
      </c>
      <c r="F32" s="110">
        <f t="shared" si="4"/>
        <v>0.24723181192308225</v>
      </c>
      <c r="G32" s="110">
        <f t="shared" si="5"/>
        <v>0.26723181192308226</v>
      </c>
      <c r="H32" s="115">
        <f t="shared" si="0"/>
        <v>2344.0930261282278</v>
      </c>
      <c r="I32" s="113">
        <f t="shared" si="6"/>
        <v>70.174071245767209</v>
      </c>
      <c r="J32" s="113">
        <f t="shared" si="7"/>
        <v>1395.3598220923359</v>
      </c>
      <c r="K32" s="115">
        <f t="shared" si="9"/>
        <v>70.174071245767209</v>
      </c>
      <c r="L32" s="113">
        <f t="shared" si="10"/>
        <v>1395.3598220923359</v>
      </c>
      <c r="M32" s="135"/>
      <c r="N32" s="126"/>
      <c r="O32" s="126"/>
      <c r="P32" s="126"/>
      <c r="Q32" s="126"/>
      <c r="R32" s="126"/>
    </row>
    <row r="33" spans="1:18" x14ac:dyDescent="0.25">
      <c r="A33" s="100">
        <v>20</v>
      </c>
      <c r="B33" s="101">
        <f t="shared" si="8"/>
        <v>8727.900111192288</v>
      </c>
      <c r="C33" s="102">
        <f t="shared" si="1"/>
        <v>0.2678849253403901</v>
      </c>
      <c r="D33" s="146">
        <f t="shared" si="2"/>
        <v>0.2678849253403901</v>
      </c>
      <c r="E33" s="99">
        <f t="shared" si="3"/>
        <v>-2338.0728696651286</v>
      </c>
      <c r="F33" s="103">
        <f t="shared" si="4"/>
        <v>0.25588492534039009</v>
      </c>
      <c r="G33" s="103">
        <f t="shared" si="5"/>
        <v>0.27588492534039011</v>
      </c>
      <c r="H33" s="99">
        <f t="shared" si="0"/>
        <v>2407.8960705546669</v>
      </c>
      <c r="I33" s="99">
        <f t="shared" si="6"/>
        <v>69.823200889538384</v>
      </c>
      <c r="J33" s="99">
        <f t="shared" si="7"/>
        <v>1465.1830229818743</v>
      </c>
      <c r="K33" s="99">
        <f t="shared" si="9"/>
        <v>69.823200889538384</v>
      </c>
      <c r="L33" s="99">
        <f t="shared" si="10"/>
        <v>1465.1830229818743</v>
      </c>
      <c r="M33" s="135"/>
      <c r="N33" s="126"/>
      <c r="O33" s="126"/>
      <c r="P33" s="126"/>
      <c r="Q33" s="126"/>
      <c r="R33" s="126"/>
    </row>
    <row r="34" spans="1:18" x14ac:dyDescent="0.25">
      <c r="A34" s="111">
        <v>21</v>
      </c>
      <c r="B34" s="112">
        <f t="shared" si="8"/>
        <v>8684.2606106363273</v>
      </c>
      <c r="C34" s="114">
        <f t="shared" si="1"/>
        <v>0.27684089772730375</v>
      </c>
      <c r="D34" s="117">
        <f t="shared" si="2"/>
        <v>0.27684089772730375</v>
      </c>
      <c r="E34" s="115">
        <f t="shared" si="3"/>
        <v>-2404.1585035464241</v>
      </c>
      <c r="F34" s="110">
        <f t="shared" si="4"/>
        <v>0.26484089772730374</v>
      </c>
      <c r="G34" s="110">
        <f t="shared" si="5"/>
        <v>0.28484089772730375</v>
      </c>
      <c r="H34" s="115">
        <f t="shared" si="0"/>
        <v>2473.6325884315147</v>
      </c>
      <c r="I34" s="113">
        <f t="shared" si="6"/>
        <v>69.474084885090633</v>
      </c>
      <c r="J34" s="113">
        <f t="shared" si="7"/>
        <v>1534.6571078669649</v>
      </c>
      <c r="K34" s="115">
        <f t="shared" si="9"/>
        <v>69.474084885090633</v>
      </c>
      <c r="L34" s="113">
        <f t="shared" si="10"/>
        <v>1534.6571078669649</v>
      </c>
      <c r="M34" s="135"/>
      <c r="N34" s="126"/>
      <c r="O34" s="126"/>
      <c r="P34" s="126"/>
      <c r="Q34" s="126"/>
      <c r="R34" s="126"/>
    </row>
    <row r="35" spans="1:18" x14ac:dyDescent="0.25">
      <c r="A35" s="111">
        <v>22</v>
      </c>
      <c r="B35" s="112">
        <f t="shared" si="8"/>
        <v>8640.8393075831464</v>
      </c>
      <c r="C35" s="114">
        <f t="shared" si="1"/>
        <v>0.28611032914775936</v>
      </c>
      <c r="D35" s="117">
        <f t="shared" si="2"/>
        <v>0.28611032914775936</v>
      </c>
      <c r="E35" s="115">
        <f t="shared" si="3"/>
        <v>-2472.2333784055108</v>
      </c>
      <c r="F35" s="110">
        <f t="shared" si="4"/>
        <v>0.27411032914775935</v>
      </c>
      <c r="G35" s="110">
        <f t="shared" si="5"/>
        <v>0.29411032914775936</v>
      </c>
      <c r="H35" s="115">
        <f t="shared" si="0"/>
        <v>2541.3600928661763</v>
      </c>
      <c r="I35" s="113">
        <f t="shared" si="6"/>
        <v>69.126714460665426</v>
      </c>
      <c r="J35" s="113">
        <f t="shared" si="7"/>
        <v>1603.7838223276303</v>
      </c>
      <c r="K35" s="115">
        <f t="shared" si="9"/>
        <v>69.126714460665426</v>
      </c>
      <c r="L35" s="113">
        <f t="shared" si="10"/>
        <v>1603.7838223276303</v>
      </c>
      <c r="M35" s="135"/>
      <c r="N35" s="126"/>
      <c r="O35" s="126"/>
      <c r="P35" s="126"/>
      <c r="Q35" s="126"/>
      <c r="R35" s="126"/>
    </row>
    <row r="36" spans="1:18" x14ac:dyDescent="0.25">
      <c r="A36" s="111">
        <v>23</v>
      </c>
      <c r="B36" s="112">
        <f t="shared" si="8"/>
        <v>8597.6351110452306</v>
      </c>
      <c r="C36" s="114">
        <f t="shared" si="1"/>
        <v>0.29570419066793091</v>
      </c>
      <c r="D36" s="117">
        <f t="shared" si="2"/>
        <v>0.29570419066793091</v>
      </c>
      <c r="E36" s="115">
        <f t="shared" si="3"/>
        <v>-2542.356732169816</v>
      </c>
      <c r="F36" s="110">
        <f t="shared" si="4"/>
        <v>0.2837041906679309</v>
      </c>
      <c r="G36" s="110">
        <f t="shared" si="5"/>
        <v>0.30370419066793092</v>
      </c>
      <c r="H36" s="115">
        <f t="shared" si="0"/>
        <v>2611.1378130581779</v>
      </c>
      <c r="I36" s="113">
        <f t="shared" si="6"/>
        <v>68.781080888361885</v>
      </c>
      <c r="J36" s="113">
        <f t="shared" si="7"/>
        <v>1672.5649032159922</v>
      </c>
      <c r="K36" s="115">
        <f t="shared" si="9"/>
        <v>68.781080888361885</v>
      </c>
      <c r="L36" s="113">
        <f t="shared" si="10"/>
        <v>1672.5649032159922</v>
      </c>
      <c r="M36" s="135"/>
      <c r="N36" s="126"/>
      <c r="O36" s="126"/>
      <c r="P36" s="126"/>
      <c r="Q36" s="126"/>
      <c r="R36" s="126"/>
    </row>
    <row r="37" spans="1:18" x14ac:dyDescent="0.25">
      <c r="A37" s="111">
        <v>24</v>
      </c>
      <c r="B37" s="112">
        <f t="shared" si="8"/>
        <v>8554.6469354900037</v>
      </c>
      <c r="C37" s="114">
        <f t="shared" si="1"/>
        <v>0.30563383734130845</v>
      </c>
      <c r="D37" s="117">
        <f t="shared" si="2"/>
        <v>0.30563383734130845</v>
      </c>
      <c r="E37" s="115">
        <f t="shared" si="3"/>
        <v>-2614.5895699938746</v>
      </c>
      <c r="F37" s="110">
        <f t="shared" si="4"/>
        <v>0.29363383734130843</v>
      </c>
      <c r="G37" s="110">
        <f t="shared" si="5"/>
        <v>0.31363383734130845</v>
      </c>
      <c r="H37" s="115">
        <f t="shared" si="0"/>
        <v>2683.0267454777945</v>
      </c>
      <c r="I37" s="113">
        <f t="shared" si="6"/>
        <v>68.437175483919873</v>
      </c>
      <c r="J37" s="113">
        <f t="shared" si="7"/>
        <v>1741.0020786999121</v>
      </c>
      <c r="K37" s="115">
        <f t="shared" si="9"/>
        <v>68.437175483919873</v>
      </c>
      <c r="L37" s="113">
        <f t="shared" si="10"/>
        <v>1741.0020786999121</v>
      </c>
      <c r="M37" s="135"/>
      <c r="N37" s="126"/>
      <c r="O37" s="126"/>
      <c r="P37" s="126"/>
      <c r="Q37" s="126"/>
      <c r="R37" s="126"/>
    </row>
    <row r="38" spans="1:18" x14ac:dyDescent="0.25">
      <c r="A38" s="100">
        <v>25</v>
      </c>
      <c r="B38" s="101">
        <f t="shared" si="8"/>
        <v>8511.8737008125536</v>
      </c>
      <c r="C38" s="102">
        <f t="shared" si="1"/>
        <v>0.31591102164825424</v>
      </c>
      <c r="D38" s="146">
        <f t="shared" si="2"/>
        <v>0.31591102164825424</v>
      </c>
      <c r="E38" s="99">
        <f t="shared" si="3"/>
        <v>-2688.9947169646007</v>
      </c>
      <c r="F38" s="103">
        <f t="shared" si="4"/>
        <v>0.30391102164825423</v>
      </c>
      <c r="G38" s="103">
        <f t="shared" si="5"/>
        <v>0.32391102164825425</v>
      </c>
      <c r="H38" s="99">
        <f t="shared" si="0"/>
        <v>2757.089706571101</v>
      </c>
      <c r="I38" s="99">
        <f t="shared" si="6"/>
        <v>68.094989606500349</v>
      </c>
      <c r="J38" s="99">
        <f t="shared" si="7"/>
        <v>1809.0970683064124</v>
      </c>
      <c r="K38" s="99">
        <f t="shared" si="9"/>
        <v>68.094989606500349</v>
      </c>
      <c r="L38" s="99">
        <f t="shared" si="10"/>
        <v>1809.0970683064124</v>
      </c>
      <c r="M38" s="126"/>
      <c r="N38" s="126"/>
      <c r="O38" s="126"/>
      <c r="P38" s="126"/>
      <c r="Q38" s="126"/>
      <c r="R38" s="126"/>
    </row>
    <row r="39" spans="1:18" x14ac:dyDescent="0.25">
      <c r="A39" s="126"/>
      <c r="B39" s="126"/>
      <c r="C39" s="126"/>
      <c r="D39" s="126"/>
      <c r="E39" s="126"/>
      <c r="F39" s="126"/>
      <c r="G39" s="126"/>
      <c r="H39" s="127"/>
      <c r="I39" s="126"/>
      <c r="J39" s="126"/>
      <c r="K39" s="126"/>
      <c r="L39" s="126"/>
      <c r="M39" s="126"/>
      <c r="N39" s="126"/>
      <c r="O39" s="126"/>
      <c r="P39" s="126"/>
      <c r="Q39" s="126"/>
      <c r="R39" s="126"/>
    </row>
    <row r="40" spans="1:18" x14ac:dyDescent="0.25">
      <c r="A40" s="126"/>
      <c r="B40" s="126"/>
      <c r="C40" s="126"/>
      <c r="D40" s="126"/>
      <c r="E40" s="126"/>
      <c r="F40" s="126"/>
      <c r="G40" s="126"/>
      <c r="H40" s="126"/>
      <c r="I40" s="126"/>
      <c r="J40" s="126"/>
      <c r="K40" s="126"/>
      <c r="L40" s="126"/>
      <c r="M40" s="126"/>
      <c r="N40" s="126"/>
      <c r="O40" s="126"/>
      <c r="P40" s="126"/>
      <c r="Q40" s="126"/>
      <c r="R40" s="126"/>
    </row>
    <row r="41" spans="1:18" x14ac:dyDescent="0.25">
      <c r="A41" s="126"/>
      <c r="B41" s="126"/>
      <c r="C41" s="126"/>
      <c r="D41" s="126"/>
      <c r="E41" s="126"/>
      <c r="F41" s="126"/>
      <c r="G41" s="126"/>
      <c r="H41" s="126"/>
      <c r="I41" s="126"/>
      <c r="J41" s="126"/>
      <c r="K41" s="126"/>
      <c r="L41" s="126"/>
      <c r="M41" s="126"/>
      <c r="N41" s="126"/>
      <c r="O41" s="126"/>
      <c r="P41" s="126"/>
      <c r="Q41" s="126"/>
      <c r="R41" s="126"/>
    </row>
    <row r="42" spans="1:18" x14ac:dyDescent="0.25">
      <c r="A42" s="126"/>
      <c r="B42" s="126"/>
      <c r="C42" s="126"/>
      <c r="D42" s="126"/>
      <c r="E42" s="126"/>
      <c r="F42" s="126"/>
      <c r="G42" s="126"/>
      <c r="H42" s="126"/>
      <c r="I42" s="126"/>
      <c r="J42" s="126"/>
      <c r="K42" s="126"/>
      <c r="L42" s="126"/>
      <c r="M42" s="126"/>
      <c r="N42" s="126"/>
      <c r="O42" s="126"/>
      <c r="P42" s="126"/>
      <c r="Q42" s="126"/>
      <c r="R42" s="126"/>
    </row>
  </sheetData>
  <mergeCells count="20">
    <mergeCell ref="A2:D2"/>
    <mergeCell ref="E2:J2"/>
    <mergeCell ref="A3:C3"/>
    <mergeCell ref="E3:J3"/>
    <mergeCell ref="A4:C4"/>
    <mergeCell ref="E4:J4"/>
    <mergeCell ref="A5:C5"/>
    <mergeCell ref="E5:J5"/>
    <mergeCell ref="A6:C6"/>
    <mergeCell ref="E6:J6"/>
    <mergeCell ref="A7:C7"/>
    <mergeCell ref="E7:J7"/>
    <mergeCell ref="A11:C11"/>
    <mergeCell ref="E11:J11"/>
    <mergeCell ref="A8:C8"/>
    <mergeCell ref="E8:J8"/>
    <mergeCell ref="A9:C9"/>
    <mergeCell ref="E9:J9"/>
    <mergeCell ref="A10:C10"/>
    <mergeCell ref="E10:J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workbookViewId="0">
      <selection activeCell="A2" sqref="A2:D2"/>
    </sheetView>
  </sheetViews>
  <sheetFormatPr defaultColWidth="8.85546875" defaultRowHeight="15" x14ac:dyDescent="0.25"/>
  <cols>
    <col min="1" max="1" width="9.140625" style="106" customWidth="1"/>
    <col min="2" max="2" width="11.28515625" style="106" customWidth="1"/>
    <col min="3" max="3" width="15.7109375" style="106" customWidth="1"/>
    <col min="4" max="4" width="13.7109375" style="106" customWidth="1"/>
    <col min="5" max="5" width="11.85546875" style="106" customWidth="1"/>
    <col min="6" max="6" width="13.42578125" style="106" customWidth="1"/>
    <col min="7" max="7" width="14" style="106" customWidth="1"/>
    <col min="8" max="8" width="11.7109375" style="106" customWidth="1"/>
    <col min="9" max="9" width="12.85546875" style="106" customWidth="1"/>
    <col min="10" max="10" width="12.42578125" style="106" customWidth="1"/>
    <col min="11" max="11" width="15.28515625" style="106" customWidth="1"/>
    <col min="12" max="12" width="13.42578125" style="106" customWidth="1"/>
    <col min="13" max="16384" width="8.85546875" style="106"/>
  </cols>
  <sheetData>
    <row r="1" spans="1:18" s="118" customFormat="1" ht="30" customHeight="1" x14ac:dyDescent="0.25">
      <c r="A1" s="119" t="s">
        <v>74</v>
      </c>
      <c r="B1" s="120" t="s">
        <v>135</v>
      </c>
      <c r="C1" s="120"/>
      <c r="D1" s="120"/>
      <c r="E1" s="120"/>
      <c r="F1" s="120"/>
      <c r="G1" s="120"/>
      <c r="H1" s="120"/>
      <c r="I1" s="120"/>
      <c r="J1" s="121"/>
      <c r="K1" s="128"/>
      <c r="L1" s="128"/>
      <c r="M1" s="128"/>
      <c r="N1" s="128"/>
      <c r="O1" s="128"/>
      <c r="P1" s="128"/>
      <c r="Q1" s="128"/>
      <c r="R1" s="128"/>
    </row>
    <row r="2" spans="1:18" s="107" customFormat="1" x14ac:dyDescent="0.25">
      <c r="A2" s="210" t="s">
        <v>75</v>
      </c>
      <c r="B2" s="210"/>
      <c r="C2" s="210"/>
      <c r="D2" s="210"/>
      <c r="E2" s="211" t="s">
        <v>54</v>
      </c>
      <c r="F2" s="211"/>
      <c r="G2" s="211"/>
      <c r="H2" s="211"/>
      <c r="I2" s="211"/>
      <c r="J2" s="211"/>
      <c r="K2" s="129"/>
      <c r="L2" s="129"/>
      <c r="M2" s="129"/>
      <c r="N2" s="129"/>
      <c r="O2" s="129"/>
      <c r="P2" s="129"/>
      <c r="Q2" s="129"/>
      <c r="R2" s="129"/>
    </row>
    <row r="3" spans="1:18" ht="14.45" customHeight="1" x14ac:dyDescent="0.25">
      <c r="A3" s="212" t="s">
        <v>101</v>
      </c>
      <c r="B3" s="213"/>
      <c r="C3" s="214"/>
      <c r="D3" s="137">
        <f>'Xcel CSG Calculator'!H7</f>
        <v>9600</v>
      </c>
      <c r="E3" s="215" t="s">
        <v>102</v>
      </c>
      <c r="F3" s="215"/>
      <c r="G3" s="215"/>
      <c r="H3" s="215"/>
      <c r="I3" s="215"/>
      <c r="J3" s="215"/>
      <c r="K3" s="126"/>
      <c r="L3" s="126"/>
      <c r="M3" s="126"/>
      <c r="N3" s="126"/>
      <c r="O3" s="126"/>
      <c r="P3" s="126"/>
      <c r="Q3" s="126"/>
      <c r="R3" s="126"/>
    </row>
    <row r="4" spans="1:18" x14ac:dyDescent="0.25">
      <c r="A4" s="217" t="s">
        <v>77</v>
      </c>
      <c r="B4" s="217"/>
      <c r="C4" s="217"/>
      <c r="D4" s="132">
        <f>D14</f>
        <v>0.13779</v>
      </c>
      <c r="E4" s="217" t="s">
        <v>78</v>
      </c>
      <c r="F4" s="217"/>
      <c r="G4" s="217"/>
      <c r="H4" s="217"/>
      <c r="I4" s="217"/>
      <c r="J4" s="217"/>
      <c r="K4" s="126"/>
      <c r="L4" s="126"/>
      <c r="M4" s="126"/>
      <c r="N4" s="126"/>
      <c r="O4" s="126"/>
      <c r="P4" s="126"/>
      <c r="Q4" s="126"/>
      <c r="R4" s="126"/>
    </row>
    <row r="5" spans="1:18" x14ac:dyDescent="0.25">
      <c r="A5" s="217" t="s">
        <v>79</v>
      </c>
      <c r="B5" s="217"/>
      <c r="C5" s="217"/>
      <c r="D5" s="136">
        <f>'Xcel CSG Calculator'!H8</f>
        <v>0.1331</v>
      </c>
      <c r="E5" s="217" t="s">
        <v>80</v>
      </c>
      <c r="F5" s="217"/>
      <c r="G5" s="217"/>
      <c r="H5" s="217"/>
      <c r="I5" s="217"/>
      <c r="J5" s="217"/>
      <c r="K5" s="126"/>
      <c r="L5" s="126"/>
      <c r="M5" s="126"/>
      <c r="N5" s="126"/>
      <c r="O5" s="126"/>
      <c r="P5" s="126"/>
      <c r="Q5" s="126"/>
      <c r="R5" s="126"/>
    </row>
    <row r="6" spans="1:18" x14ac:dyDescent="0.25">
      <c r="A6" s="217" t="s">
        <v>81</v>
      </c>
      <c r="B6" s="217"/>
      <c r="C6" s="217"/>
      <c r="D6" s="133">
        <f>'Xcel CSG Calculator'!H9</f>
        <v>0.02</v>
      </c>
      <c r="E6" s="217" t="s">
        <v>82</v>
      </c>
      <c r="F6" s="217"/>
      <c r="G6" s="217"/>
      <c r="H6" s="217"/>
      <c r="I6" s="217"/>
      <c r="J6" s="217"/>
      <c r="K6" s="126"/>
      <c r="L6" s="126"/>
      <c r="M6" s="126"/>
      <c r="N6" s="126"/>
      <c r="O6" s="126"/>
      <c r="P6" s="126"/>
      <c r="Q6" s="126"/>
      <c r="R6" s="126"/>
    </row>
    <row r="7" spans="1:18" x14ac:dyDescent="0.25">
      <c r="A7" s="217" t="s">
        <v>85</v>
      </c>
      <c r="B7" s="217"/>
      <c r="C7" s="217"/>
      <c r="D7" s="131">
        <v>5.0000000000000001E-3</v>
      </c>
      <c r="E7" s="217" t="s">
        <v>86</v>
      </c>
      <c r="F7" s="217"/>
      <c r="G7" s="217"/>
      <c r="H7" s="217"/>
      <c r="I7" s="217"/>
      <c r="J7" s="217"/>
      <c r="K7" s="126"/>
      <c r="L7" s="126"/>
      <c r="M7" s="126"/>
      <c r="N7" s="126"/>
      <c r="O7" s="126"/>
      <c r="P7" s="126"/>
      <c r="Q7" s="126"/>
      <c r="R7" s="126"/>
    </row>
    <row r="8" spans="1:18" x14ac:dyDescent="0.25">
      <c r="A8" s="217" t="s">
        <v>87</v>
      </c>
      <c r="B8" s="217"/>
      <c r="C8" s="217"/>
      <c r="D8" s="131">
        <f>'Xcel CSG Calculator'!H10</f>
        <v>3.5000000000000003E-2</v>
      </c>
      <c r="E8" s="217" t="s">
        <v>103</v>
      </c>
      <c r="F8" s="217"/>
      <c r="G8" s="217"/>
      <c r="H8" s="217"/>
      <c r="I8" s="217"/>
      <c r="J8" s="217"/>
      <c r="K8" s="126"/>
      <c r="L8" s="126"/>
      <c r="M8" s="126"/>
      <c r="N8" s="126"/>
      <c r="O8" s="126"/>
      <c r="P8" s="126"/>
      <c r="Q8" s="126"/>
      <c r="R8" s="126"/>
    </row>
    <row r="9" spans="1:18" x14ac:dyDescent="0.25">
      <c r="A9" s="217" t="s">
        <v>110</v>
      </c>
      <c r="B9" s="217"/>
      <c r="C9" s="217"/>
      <c r="D9" s="138">
        <f>'Xcel CSG Calculator'!H25</f>
        <v>0.1</v>
      </c>
      <c r="E9" s="217" t="s">
        <v>105</v>
      </c>
      <c r="F9" s="217"/>
      <c r="G9" s="217"/>
      <c r="H9" s="217"/>
      <c r="I9" s="217"/>
      <c r="J9" s="217"/>
      <c r="K9" s="126"/>
      <c r="L9" s="126"/>
      <c r="M9" s="126"/>
      <c r="N9" s="126"/>
      <c r="O9" s="126"/>
      <c r="P9" s="126"/>
      <c r="Q9" s="126"/>
      <c r="R9" s="126"/>
    </row>
    <row r="10" spans="1:18" x14ac:dyDescent="0.25">
      <c r="A10" s="217" t="s">
        <v>111</v>
      </c>
      <c r="B10" s="217"/>
      <c r="C10" s="217"/>
      <c r="D10" s="139">
        <f>'Xcel CSG Calculator'!I25</f>
        <v>0</v>
      </c>
      <c r="E10" s="217" t="s">
        <v>107</v>
      </c>
      <c r="F10" s="217"/>
      <c r="G10" s="217"/>
      <c r="H10" s="217"/>
      <c r="I10" s="217"/>
      <c r="J10" s="217"/>
      <c r="K10" s="126"/>
      <c r="L10" s="126"/>
      <c r="M10" s="126"/>
      <c r="N10" s="126"/>
      <c r="O10" s="126"/>
      <c r="P10" s="126"/>
      <c r="Q10" s="126"/>
      <c r="R10" s="126"/>
    </row>
    <row r="11" spans="1:18" x14ac:dyDescent="0.25">
      <c r="A11" s="217" t="s">
        <v>18</v>
      </c>
      <c r="B11" s="217"/>
      <c r="C11" s="217"/>
      <c r="D11" s="131">
        <f>'Xcel CSG Calculator'!H11</f>
        <v>0</v>
      </c>
      <c r="E11" s="217" t="s">
        <v>89</v>
      </c>
      <c r="F11" s="217"/>
      <c r="G11" s="217"/>
      <c r="H11" s="217"/>
      <c r="I11" s="217"/>
      <c r="J11" s="217"/>
      <c r="K11" s="126"/>
      <c r="L11" s="126"/>
      <c r="M11" s="126"/>
      <c r="N11" s="126"/>
      <c r="O11" s="126"/>
      <c r="P11" s="126"/>
      <c r="Q11" s="126"/>
      <c r="R11" s="126"/>
    </row>
    <row r="12" spans="1:18" s="108" customFormat="1" x14ac:dyDescent="0.25">
      <c r="A12" s="124"/>
      <c r="B12" s="124"/>
      <c r="C12" s="124"/>
      <c r="D12" s="125"/>
      <c r="E12" s="125"/>
      <c r="F12" s="125"/>
      <c r="G12" s="125"/>
      <c r="H12" s="125"/>
      <c r="I12" s="125"/>
      <c r="J12" s="125"/>
      <c r="K12" s="130"/>
      <c r="L12" s="130"/>
      <c r="M12" s="130"/>
      <c r="N12" s="130"/>
      <c r="O12" s="130"/>
      <c r="P12" s="130"/>
      <c r="Q12" s="130"/>
      <c r="R12" s="130"/>
    </row>
    <row r="13" spans="1:18" ht="60" x14ac:dyDescent="0.25">
      <c r="A13" s="109" t="s">
        <v>90</v>
      </c>
      <c r="B13" s="109" t="s">
        <v>91</v>
      </c>
      <c r="C13" s="109" t="s">
        <v>108</v>
      </c>
      <c r="D13" s="109" t="s">
        <v>109</v>
      </c>
      <c r="E13" s="116" t="s">
        <v>93</v>
      </c>
      <c r="F13" s="109" t="s">
        <v>94</v>
      </c>
      <c r="G13" s="109" t="s">
        <v>95</v>
      </c>
      <c r="H13" s="116" t="s">
        <v>96</v>
      </c>
      <c r="I13" s="109" t="s">
        <v>97</v>
      </c>
      <c r="J13" s="109" t="s">
        <v>98</v>
      </c>
      <c r="K13" s="116" t="s">
        <v>99</v>
      </c>
      <c r="L13" s="109" t="s">
        <v>100</v>
      </c>
      <c r="M13" s="135"/>
      <c r="N13" s="126"/>
      <c r="O13" s="126"/>
      <c r="P13" s="126"/>
      <c r="Q13" s="126"/>
      <c r="R13" s="126"/>
    </row>
    <row r="14" spans="1:18" x14ac:dyDescent="0.25">
      <c r="A14" s="111">
        <v>1</v>
      </c>
      <c r="B14" s="112">
        <f>$D$3</f>
        <v>9600</v>
      </c>
      <c r="C14" s="114">
        <f>G14*(1-$D$9)</f>
        <v>0.13779</v>
      </c>
      <c r="D14" s="117">
        <f>IF(C14&lt;$D$10,$D$10,C14)</f>
        <v>0.13779</v>
      </c>
      <c r="E14" s="115">
        <f>B14*D14*-1</f>
        <v>-1322.7839999999999</v>
      </c>
      <c r="F14" s="110">
        <f>D5</f>
        <v>0.1331</v>
      </c>
      <c r="G14" s="110">
        <f>F14+$D$6</f>
        <v>0.15309999999999999</v>
      </c>
      <c r="H14" s="115">
        <f t="shared" ref="H14:H38" si="0">B14*G14</f>
        <v>1469.7599999999998</v>
      </c>
      <c r="I14" s="113">
        <f>E14+H14</f>
        <v>146.97599999999989</v>
      </c>
      <c r="J14" s="113">
        <f>I14</f>
        <v>146.97599999999989</v>
      </c>
      <c r="K14" s="115">
        <f>I14/(1+$D$11)^($A14-1)</f>
        <v>146.97599999999989</v>
      </c>
      <c r="L14" s="113">
        <f>K14</f>
        <v>146.97599999999989</v>
      </c>
      <c r="M14" s="135"/>
      <c r="N14" s="126"/>
      <c r="O14" s="126"/>
      <c r="P14" s="126"/>
      <c r="Q14" s="126"/>
      <c r="R14" s="126"/>
    </row>
    <row r="15" spans="1:18" x14ac:dyDescent="0.25">
      <c r="A15" s="111">
        <v>2</v>
      </c>
      <c r="B15" s="112">
        <f>B14*(1-$D$7)</f>
        <v>9552</v>
      </c>
      <c r="C15" s="114">
        <f t="shared" ref="C15:C38" si="1">G15*(1-$D$9)</f>
        <v>0.14198264999999999</v>
      </c>
      <c r="D15" s="117">
        <f t="shared" ref="D15:D38" si="2">IF(C15&lt;$D$10,$D$10,C15)</f>
        <v>0.14198264999999999</v>
      </c>
      <c r="E15" s="115">
        <f t="shared" ref="E15:E38" si="3">B15*D15*-1</f>
        <v>-1356.2182727999998</v>
      </c>
      <c r="F15" s="110">
        <f t="shared" ref="F15:F38" si="4">F14*(1+$D$8)</f>
        <v>0.13775849999999998</v>
      </c>
      <c r="G15" s="110">
        <f t="shared" ref="G15:G38" si="5">F15+$D$6</f>
        <v>0.15775849999999997</v>
      </c>
      <c r="H15" s="115">
        <f t="shared" si="0"/>
        <v>1506.9091919999996</v>
      </c>
      <c r="I15" s="113">
        <f t="shared" ref="I15:I38" si="6">E15+H15</f>
        <v>150.69091919999983</v>
      </c>
      <c r="J15" s="113">
        <f t="shared" ref="J15:J38" si="7">J14+I15</f>
        <v>297.66691919999971</v>
      </c>
      <c r="K15" s="115">
        <f>I15/(1+$D$11)^($A15-1)</f>
        <v>150.69091919999983</v>
      </c>
      <c r="L15" s="113">
        <f>K15+L14</f>
        <v>297.66691919999971</v>
      </c>
      <c r="M15" s="135"/>
      <c r="N15" s="126"/>
      <c r="O15" s="126"/>
      <c r="P15" s="126"/>
      <c r="Q15" s="126"/>
      <c r="R15" s="126"/>
    </row>
    <row r="16" spans="1:18" x14ac:dyDescent="0.25">
      <c r="A16" s="111">
        <v>3</v>
      </c>
      <c r="B16" s="112">
        <f t="shared" ref="B16:B38" si="8">B15*(1-$D$7)</f>
        <v>9504.24</v>
      </c>
      <c r="C16" s="114">
        <f t="shared" si="1"/>
        <v>0.14632204274999996</v>
      </c>
      <c r="D16" s="117">
        <f t="shared" si="2"/>
        <v>0.14632204274999996</v>
      </c>
      <c r="E16" s="115">
        <f t="shared" si="3"/>
        <v>-1390.6798115862596</v>
      </c>
      <c r="F16" s="110">
        <f t="shared" si="4"/>
        <v>0.14258004749999997</v>
      </c>
      <c r="G16" s="110">
        <f t="shared" si="5"/>
        <v>0.16258004749999996</v>
      </c>
      <c r="H16" s="115">
        <f t="shared" si="0"/>
        <v>1545.1997906513996</v>
      </c>
      <c r="I16" s="113">
        <f t="shared" si="6"/>
        <v>154.51997906513998</v>
      </c>
      <c r="J16" s="113">
        <f t="shared" si="7"/>
        <v>452.18689826513969</v>
      </c>
      <c r="K16" s="115">
        <f t="shared" ref="K16:K38" si="9">I16/(1+$D$11)^($A16-1)</f>
        <v>154.51997906513998</v>
      </c>
      <c r="L16" s="113">
        <f t="shared" ref="L16:L38" si="10">K16+L15</f>
        <v>452.18689826513969</v>
      </c>
      <c r="M16" s="135"/>
      <c r="N16" s="126"/>
      <c r="O16" s="126"/>
      <c r="P16" s="126"/>
      <c r="Q16" s="126"/>
      <c r="R16" s="126"/>
    </row>
    <row r="17" spans="1:18" x14ac:dyDescent="0.25">
      <c r="A17" s="111">
        <v>4</v>
      </c>
      <c r="B17" s="112">
        <f t="shared" si="8"/>
        <v>9456.7188000000006</v>
      </c>
      <c r="C17" s="114">
        <f t="shared" si="1"/>
        <v>0.15081331424624994</v>
      </c>
      <c r="D17" s="117">
        <f t="shared" si="2"/>
        <v>0.15081331424624994</v>
      </c>
      <c r="E17" s="115">
        <f t="shared" si="3"/>
        <v>-1426.1991041228198</v>
      </c>
      <c r="F17" s="110">
        <f t="shared" si="4"/>
        <v>0.14757034916249995</v>
      </c>
      <c r="G17" s="110">
        <f t="shared" si="5"/>
        <v>0.16757034916249994</v>
      </c>
      <c r="H17" s="115">
        <f t="shared" si="0"/>
        <v>1584.6656712475776</v>
      </c>
      <c r="I17" s="113">
        <f t="shared" si="6"/>
        <v>158.46656712475783</v>
      </c>
      <c r="J17" s="113">
        <f t="shared" si="7"/>
        <v>610.65346538989752</v>
      </c>
      <c r="K17" s="115">
        <f t="shared" si="9"/>
        <v>158.46656712475783</v>
      </c>
      <c r="L17" s="113">
        <f t="shared" si="10"/>
        <v>610.65346538989752</v>
      </c>
      <c r="M17" s="135"/>
      <c r="N17" s="126"/>
      <c r="O17" s="126"/>
      <c r="P17" s="126"/>
      <c r="Q17" s="126"/>
      <c r="R17" s="126"/>
    </row>
    <row r="18" spans="1:18" x14ac:dyDescent="0.25">
      <c r="A18" s="100">
        <v>5</v>
      </c>
      <c r="B18" s="101">
        <f t="shared" si="8"/>
        <v>9409.4352060000001</v>
      </c>
      <c r="C18" s="102">
        <f t="shared" si="1"/>
        <v>0.1554617802448687</v>
      </c>
      <c r="D18" s="146">
        <f t="shared" si="2"/>
        <v>0.1554617802448687</v>
      </c>
      <c r="E18" s="99">
        <f t="shared" si="3"/>
        <v>-1462.8075482235029</v>
      </c>
      <c r="F18" s="103">
        <f t="shared" si="4"/>
        <v>0.15273531138318744</v>
      </c>
      <c r="G18" s="103">
        <f t="shared" si="5"/>
        <v>0.17273531138318743</v>
      </c>
      <c r="H18" s="99">
        <f t="shared" si="0"/>
        <v>1625.3417202483363</v>
      </c>
      <c r="I18" s="99">
        <f t="shared" si="6"/>
        <v>162.53417202483342</v>
      </c>
      <c r="J18" s="99">
        <f t="shared" si="7"/>
        <v>773.18763741473094</v>
      </c>
      <c r="K18" s="99">
        <f t="shared" si="9"/>
        <v>162.53417202483342</v>
      </c>
      <c r="L18" s="99">
        <f t="shared" si="10"/>
        <v>773.18763741473094</v>
      </c>
      <c r="M18" s="135"/>
      <c r="N18" s="126"/>
      <c r="O18" s="126"/>
      <c r="P18" s="126"/>
      <c r="Q18" s="126"/>
      <c r="R18" s="126"/>
    </row>
    <row r="19" spans="1:18" x14ac:dyDescent="0.25">
      <c r="A19" s="111">
        <v>6</v>
      </c>
      <c r="B19" s="112">
        <f t="shared" si="8"/>
        <v>9362.3880299699995</v>
      </c>
      <c r="C19" s="114">
        <f t="shared" si="1"/>
        <v>0.1602729425534391</v>
      </c>
      <c r="D19" s="117">
        <f t="shared" si="2"/>
        <v>0.1602729425534391</v>
      </c>
      <c r="E19" s="115">
        <f t="shared" si="3"/>
        <v>-1500.5374788903875</v>
      </c>
      <c r="F19" s="110">
        <f t="shared" si="4"/>
        <v>0.158081047281599</v>
      </c>
      <c r="G19" s="110">
        <f t="shared" si="5"/>
        <v>0.17808104728159899</v>
      </c>
      <c r="H19" s="115">
        <f t="shared" si="0"/>
        <v>1667.2638654337638</v>
      </c>
      <c r="I19" s="113">
        <f t="shared" si="6"/>
        <v>166.72638654337629</v>
      </c>
      <c r="J19" s="113">
        <f t="shared" si="7"/>
        <v>939.91402395810724</v>
      </c>
      <c r="K19" s="115">
        <f t="shared" si="9"/>
        <v>166.72638654337629</v>
      </c>
      <c r="L19" s="113">
        <f t="shared" si="10"/>
        <v>939.91402395810724</v>
      </c>
      <c r="M19" s="135"/>
      <c r="N19" s="126"/>
      <c r="O19" s="126"/>
      <c r="P19" s="126"/>
      <c r="Q19" s="126"/>
      <c r="R19" s="126"/>
    </row>
    <row r="20" spans="1:18" x14ac:dyDescent="0.25">
      <c r="A20" s="111">
        <v>7</v>
      </c>
      <c r="B20" s="112">
        <f t="shared" si="8"/>
        <v>9315.5760898201497</v>
      </c>
      <c r="C20" s="114">
        <f t="shared" si="1"/>
        <v>0.16525249554280946</v>
      </c>
      <c r="D20" s="117">
        <f t="shared" si="2"/>
        <v>0.16525249554280946</v>
      </c>
      <c r="E20" s="115">
        <f t="shared" si="3"/>
        <v>-1539.4221962617066</v>
      </c>
      <c r="F20" s="110">
        <f t="shared" si="4"/>
        <v>0.16361388393645496</v>
      </c>
      <c r="G20" s="110">
        <f t="shared" si="5"/>
        <v>0.18361388393645495</v>
      </c>
      <c r="H20" s="115">
        <f t="shared" si="0"/>
        <v>1710.4691069574517</v>
      </c>
      <c r="I20" s="113">
        <f t="shared" si="6"/>
        <v>171.04691069574505</v>
      </c>
      <c r="J20" s="113">
        <f t="shared" si="7"/>
        <v>1110.9609346538523</v>
      </c>
      <c r="K20" s="115">
        <f t="shared" si="9"/>
        <v>171.04691069574505</v>
      </c>
      <c r="L20" s="113">
        <f t="shared" si="10"/>
        <v>1110.9609346538523</v>
      </c>
      <c r="M20" s="135"/>
      <c r="N20" s="126"/>
      <c r="O20" s="126"/>
      <c r="P20" s="126"/>
      <c r="Q20" s="126"/>
      <c r="R20" s="126"/>
    </row>
    <row r="21" spans="1:18" x14ac:dyDescent="0.25">
      <c r="A21" s="111">
        <v>8</v>
      </c>
      <c r="B21" s="112">
        <f t="shared" si="8"/>
        <v>9268.9982093710496</v>
      </c>
      <c r="C21" s="114">
        <f t="shared" si="1"/>
        <v>0.17040633288680779</v>
      </c>
      <c r="D21" s="117">
        <f t="shared" si="2"/>
        <v>0.17040633288680779</v>
      </c>
      <c r="E21" s="115">
        <f t="shared" si="3"/>
        <v>-1579.4959943933084</v>
      </c>
      <c r="F21" s="110">
        <f t="shared" si="4"/>
        <v>0.16934036987423087</v>
      </c>
      <c r="G21" s="110">
        <f t="shared" si="5"/>
        <v>0.18934036987423086</v>
      </c>
      <c r="H21" s="115">
        <f t="shared" si="0"/>
        <v>1754.9955493258981</v>
      </c>
      <c r="I21" s="113">
        <f t="shared" si="6"/>
        <v>175.49955493258972</v>
      </c>
      <c r="J21" s="113">
        <f t="shared" si="7"/>
        <v>1286.460489586442</v>
      </c>
      <c r="K21" s="115">
        <f t="shared" si="9"/>
        <v>175.49955493258972</v>
      </c>
      <c r="L21" s="113">
        <f t="shared" si="10"/>
        <v>1286.460489586442</v>
      </c>
      <c r="M21" s="135"/>
      <c r="N21" s="126"/>
      <c r="O21" s="126"/>
      <c r="P21" s="126"/>
      <c r="Q21" s="126"/>
      <c r="R21" s="126"/>
    </row>
    <row r="22" spans="1:18" x14ac:dyDescent="0.25">
      <c r="A22" s="111">
        <v>9</v>
      </c>
      <c r="B22" s="112">
        <f t="shared" si="8"/>
        <v>9222.6532183241943</v>
      </c>
      <c r="C22" s="114">
        <f t="shared" si="1"/>
        <v>0.17574055453784604</v>
      </c>
      <c r="D22" s="117">
        <f t="shared" si="2"/>
        <v>0.17574055453784604</v>
      </c>
      <c r="E22" s="115">
        <f t="shared" si="3"/>
        <v>-1620.7941908985445</v>
      </c>
      <c r="F22" s="110">
        <f t="shared" si="4"/>
        <v>0.17526728281982895</v>
      </c>
      <c r="G22" s="110">
        <f t="shared" si="5"/>
        <v>0.19526728281982894</v>
      </c>
      <c r="H22" s="115">
        <f t="shared" si="0"/>
        <v>1800.882434331716</v>
      </c>
      <c r="I22" s="113">
        <f t="shared" si="6"/>
        <v>180.08824343317156</v>
      </c>
      <c r="J22" s="113">
        <f t="shared" si="7"/>
        <v>1466.5487330196136</v>
      </c>
      <c r="K22" s="115">
        <f t="shared" si="9"/>
        <v>180.08824343317156</v>
      </c>
      <c r="L22" s="113">
        <f t="shared" si="10"/>
        <v>1466.5487330196136</v>
      </c>
      <c r="M22" s="135"/>
      <c r="N22" s="126"/>
      <c r="O22" s="126"/>
      <c r="P22" s="126"/>
      <c r="Q22" s="126"/>
      <c r="R22" s="126"/>
    </row>
    <row r="23" spans="1:18" x14ac:dyDescent="0.25">
      <c r="A23" s="100">
        <v>10</v>
      </c>
      <c r="B23" s="101">
        <f t="shared" si="8"/>
        <v>9176.5399522325733</v>
      </c>
      <c r="C23" s="102">
        <f t="shared" si="1"/>
        <v>0.18126147394667064</v>
      </c>
      <c r="D23" s="146">
        <f t="shared" si="2"/>
        <v>0.18126147394667064</v>
      </c>
      <c r="E23" s="99">
        <f t="shared" si="3"/>
        <v>-1663.3531574721867</v>
      </c>
      <c r="F23" s="103">
        <f t="shared" si="4"/>
        <v>0.18140163771852294</v>
      </c>
      <c r="G23" s="103">
        <f t="shared" si="5"/>
        <v>0.20140163771852293</v>
      </c>
      <c r="H23" s="99">
        <f t="shared" si="0"/>
        <v>1848.1701749690965</v>
      </c>
      <c r="I23" s="99">
        <f t="shared" si="6"/>
        <v>184.81701749690978</v>
      </c>
      <c r="J23" s="99">
        <f t="shared" si="7"/>
        <v>1651.3657505165233</v>
      </c>
      <c r="K23" s="99">
        <f t="shared" si="9"/>
        <v>184.81701749690978</v>
      </c>
      <c r="L23" s="99">
        <f t="shared" si="10"/>
        <v>1651.3657505165233</v>
      </c>
      <c r="M23" s="135"/>
      <c r="N23" s="126"/>
      <c r="O23" s="126"/>
      <c r="P23" s="126"/>
      <c r="Q23" s="126"/>
      <c r="R23" s="126"/>
    </row>
    <row r="24" spans="1:18" x14ac:dyDescent="0.25">
      <c r="A24" s="111">
        <v>11</v>
      </c>
      <c r="B24" s="112">
        <f t="shared" si="8"/>
        <v>9130.6572524714102</v>
      </c>
      <c r="C24" s="114">
        <f t="shared" si="1"/>
        <v>0.1869756255348041</v>
      </c>
      <c r="D24" s="117">
        <f t="shared" si="2"/>
        <v>0.1869756255348041</v>
      </c>
      <c r="E24" s="115">
        <f t="shared" si="3"/>
        <v>-1707.2103513247375</v>
      </c>
      <c r="F24" s="110">
        <f t="shared" si="4"/>
        <v>0.18775069503867123</v>
      </c>
      <c r="G24" s="110">
        <f t="shared" si="5"/>
        <v>0.20775069503867122</v>
      </c>
      <c r="H24" s="115">
        <f t="shared" si="0"/>
        <v>1896.9003903608195</v>
      </c>
      <c r="I24" s="113">
        <f t="shared" si="6"/>
        <v>189.690039036082</v>
      </c>
      <c r="J24" s="113">
        <f t="shared" si="7"/>
        <v>1841.0557895526053</v>
      </c>
      <c r="K24" s="115">
        <f t="shared" si="9"/>
        <v>189.690039036082</v>
      </c>
      <c r="L24" s="113">
        <f t="shared" si="10"/>
        <v>1841.0557895526053</v>
      </c>
      <c r="M24" s="135"/>
      <c r="N24" s="126"/>
      <c r="O24" s="126"/>
      <c r="P24" s="126"/>
      <c r="Q24" s="126"/>
      <c r="R24" s="126"/>
    </row>
    <row r="25" spans="1:18" x14ac:dyDescent="0.25">
      <c r="A25" s="111">
        <v>12</v>
      </c>
      <c r="B25" s="112">
        <f t="shared" si="8"/>
        <v>9085.003966209053</v>
      </c>
      <c r="C25" s="114">
        <f t="shared" si="1"/>
        <v>0.19288977242852223</v>
      </c>
      <c r="D25" s="117">
        <f t="shared" si="2"/>
        <v>0.19288977242852223</v>
      </c>
      <c r="E25" s="115">
        <f t="shared" si="3"/>
        <v>-1752.4043475542862</v>
      </c>
      <c r="F25" s="110">
        <f t="shared" si="4"/>
        <v>0.19432196936502472</v>
      </c>
      <c r="G25" s="110">
        <f t="shared" si="5"/>
        <v>0.21432196936502471</v>
      </c>
      <c r="H25" s="115">
        <f t="shared" si="0"/>
        <v>1947.1159417269846</v>
      </c>
      <c r="I25" s="113">
        <f t="shared" si="6"/>
        <v>194.71159417269837</v>
      </c>
      <c r="J25" s="113">
        <f t="shared" si="7"/>
        <v>2035.7673837253037</v>
      </c>
      <c r="K25" s="115">
        <f t="shared" si="9"/>
        <v>194.71159417269837</v>
      </c>
      <c r="L25" s="113">
        <f t="shared" si="10"/>
        <v>2035.7673837253037</v>
      </c>
      <c r="M25" s="135"/>
      <c r="N25" s="126"/>
      <c r="O25" s="126"/>
      <c r="P25" s="126"/>
      <c r="Q25" s="126"/>
      <c r="R25" s="126"/>
    </row>
    <row r="26" spans="1:18" x14ac:dyDescent="0.25">
      <c r="A26" s="111">
        <v>13</v>
      </c>
      <c r="B26" s="112">
        <f t="shared" si="8"/>
        <v>9039.5789463780075</v>
      </c>
      <c r="C26" s="114">
        <f t="shared" si="1"/>
        <v>0.19901091446352051</v>
      </c>
      <c r="D26" s="117">
        <f t="shared" si="2"/>
        <v>0.19901091446352051</v>
      </c>
      <c r="E26" s="115">
        <f t="shared" si="3"/>
        <v>-1798.9748724838746</v>
      </c>
      <c r="F26" s="110">
        <f t="shared" si="4"/>
        <v>0.20112323829280057</v>
      </c>
      <c r="G26" s="110">
        <f t="shared" si="5"/>
        <v>0.22112323829280056</v>
      </c>
      <c r="H26" s="115">
        <f t="shared" si="0"/>
        <v>1998.8609694265272</v>
      </c>
      <c r="I26" s="113">
        <f t="shared" si="6"/>
        <v>199.88609694265256</v>
      </c>
      <c r="J26" s="113">
        <f t="shared" si="7"/>
        <v>2235.6534806679565</v>
      </c>
      <c r="K26" s="115">
        <f t="shared" si="9"/>
        <v>199.88609694265256</v>
      </c>
      <c r="L26" s="113">
        <f t="shared" si="10"/>
        <v>2235.6534806679565</v>
      </c>
      <c r="M26" s="135"/>
      <c r="N26" s="126"/>
      <c r="O26" s="126"/>
      <c r="P26" s="126"/>
      <c r="Q26" s="126"/>
      <c r="R26" s="126"/>
    </row>
    <row r="27" spans="1:18" x14ac:dyDescent="0.25">
      <c r="A27" s="111">
        <v>14</v>
      </c>
      <c r="B27" s="112">
        <f t="shared" si="8"/>
        <v>8994.3810516461181</v>
      </c>
      <c r="C27" s="114">
        <f t="shared" si="1"/>
        <v>0.20534629646974373</v>
      </c>
      <c r="D27" s="117">
        <f t="shared" si="2"/>
        <v>0.20534629646974373</v>
      </c>
      <c r="E27" s="115">
        <f t="shared" si="3"/>
        <v>-1846.9628379931692</v>
      </c>
      <c r="F27" s="110">
        <f t="shared" si="4"/>
        <v>0.20816255163304859</v>
      </c>
      <c r="G27" s="110">
        <f t="shared" si="5"/>
        <v>0.22816255163304858</v>
      </c>
      <c r="H27" s="115">
        <f t="shared" si="0"/>
        <v>2052.1809311035213</v>
      </c>
      <c r="I27" s="113">
        <f t="shared" si="6"/>
        <v>205.21809311035213</v>
      </c>
      <c r="J27" s="113">
        <f t="shared" si="7"/>
        <v>2440.8715737783086</v>
      </c>
      <c r="K27" s="115">
        <f t="shared" si="9"/>
        <v>205.21809311035213</v>
      </c>
      <c r="L27" s="113">
        <f t="shared" si="10"/>
        <v>2440.8715737783086</v>
      </c>
      <c r="M27" s="135"/>
      <c r="N27" s="126"/>
      <c r="O27" s="126"/>
      <c r="P27" s="126"/>
      <c r="Q27" s="126"/>
      <c r="R27" s="126"/>
    </row>
    <row r="28" spans="1:18" x14ac:dyDescent="0.25">
      <c r="A28" s="100">
        <v>15</v>
      </c>
      <c r="B28" s="101">
        <f t="shared" si="8"/>
        <v>8949.4091463878867</v>
      </c>
      <c r="C28" s="102">
        <f t="shared" si="1"/>
        <v>0.21190341684618472</v>
      </c>
      <c r="D28" s="146">
        <f t="shared" si="2"/>
        <v>0.21190341684618472</v>
      </c>
      <c r="E28" s="99">
        <f t="shared" si="3"/>
        <v>-1896.4103768740904</v>
      </c>
      <c r="F28" s="103">
        <f t="shared" si="4"/>
        <v>0.21544824094020526</v>
      </c>
      <c r="G28" s="103">
        <f t="shared" si="5"/>
        <v>0.23544824094020525</v>
      </c>
      <c r="H28" s="99">
        <f t="shared" si="0"/>
        <v>2107.1226409712117</v>
      </c>
      <c r="I28" s="99">
        <f t="shared" si="6"/>
        <v>210.71226409712131</v>
      </c>
      <c r="J28" s="99">
        <f t="shared" si="7"/>
        <v>2651.5838378754297</v>
      </c>
      <c r="K28" s="99">
        <f t="shared" si="9"/>
        <v>210.71226409712131</v>
      </c>
      <c r="L28" s="99">
        <f t="shared" si="10"/>
        <v>2651.5838378754297</v>
      </c>
      <c r="M28" s="135"/>
      <c r="N28" s="126"/>
      <c r="O28" s="126"/>
      <c r="P28" s="126"/>
      <c r="Q28" s="126"/>
      <c r="R28" s="126"/>
    </row>
    <row r="29" spans="1:18" x14ac:dyDescent="0.25">
      <c r="A29" s="111">
        <v>16</v>
      </c>
      <c r="B29" s="112">
        <f t="shared" si="8"/>
        <v>8904.6621006559471</v>
      </c>
      <c r="C29" s="114">
        <f t="shared" si="1"/>
        <v>0.21869003643580118</v>
      </c>
      <c r="D29" s="117">
        <f t="shared" si="2"/>
        <v>0.21869003643580118</v>
      </c>
      <c r="E29" s="115">
        <f t="shared" si="3"/>
        <v>-1947.360879240947</v>
      </c>
      <c r="F29" s="110">
        <f t="shared" si="4"/>
        <v>0.22298892937311243</v>
      </c>
      <c r="G29" s="110">
        <f t="shared" si="5"/>
        <v>0.24298892937311242</v>
      </c>
      <c r="H29" s="115">
        <f t="shared" si="0"/>
        <v>2163.7343102677187</v>
      </c>
      <c r="I29" s="113">
        <f t="shared" si="6"/>
        <v>216.37343102677164</v>
      </c>
      <c r="J29" s="113">
        <f t="shared" si="7"/>
        <v>2867.9572689022016</v>
      </c>
      <c r="K29" s="115">
        <f t="shared" si="9"/>
        <v>216.37343102677164</v>
      </c>
      <c r="L29" s="113">
        <f t="shared" si="10"/>
        <v>2867.9572689022016</v>
      </c>
      <c r="M29" s="135"/>
      <c r="N29" s="126"/>
      <c r="O29" s="126"/>
      <c r="P29" s="126"/>
      <c r="Q29" s="126"/>
      <c r="R29" s="126"/>
    </row>
    <row r="30" spans="1:18" x14ac:dyDescent="0.25">
      <c r="A30" s="111">
        <v>17</v>
      </c>
      <c r="B30" s="112">
        <f t="shared" si="8"/>
        <v>8860.1387901526668</v>
      </c>
      <c r="C30" s="114">
        <f t="shared" si="1"/>
        <v>0.22571418771105423</v>
      </c>
      <c r="D30" s="117">
        <f t="shared" si="2"/>
        <v>0.22571418771105423</v>
      </c>
      <c r="E30" s="115">
        <f t="shared" si="3"/>
        <v>-1999.8590300265118</v>
      </c>
      <c r="F30" s="110">
        <f t="shared" si="4"/>
        <v>0.23079354190117135</v>
      </c>
      <c r="G30" s="110">
        <f t="shared" si="5"/>
        <v>0.25079354190117137</v>
      </c>
      <c r="H30" s="115">
        <f t="shared" si="0"/>
        <v>2222.0655889183467</v>
      </c>
      <c r="I30" s="113">
        <f t="shared" si="6"/>
        <v>222.2065588918349</v>
      </c>
      <c r="J30" s="113">
        <f t="shared" si="7"/>
        <v>3090.1638277940365</v>
      </c>
      <c r="K30" s="115">
        <f t="shared" si="9"/>
        <v>222.2065588918349</v>
      </c>
      <c r="L30" s="113">
        <f t="shared" si="10"/>
        <v>3090.1638277940365</v>
      </c>
      <c r="M30" s="135"/>
      <c r="N30" s="126"/>
      <c r="O30" s="126"/>
      <c r="P30" s="126"/>
      <c r="Q30" s="126"/>
      <c r="R30" s="126"/>
    </row>
    <row r="31" spans="1:18" x14ac:dyDescent="0.25">
      <c r="A31" s="111">
        <v>18</v>
      </c>
      <c r="B31" s="112">
        <f t="shared" si="8"/>
        <v>8815.8380962019037</v>
      </c>
      <c r="C31" s="114">
        <f t="shared" si="1"/>
        <v>0.23298418428094111</v>
      </c>
      <c r="D31" s="117">
        <f t="shared" si="2"/>
        <v>0.23298418428094111</v>
      </c>
      <c r="E31" s="115">
        <f t="shared" si="3"/>
        <v>-2053.9508475964453</v>
      </c>
      <c r="F31" s="110">
        <f t="shared" si="4"/>
        <v>0.23887131586771232</v>
      </c>
      <c r="G31" s="110">
        <f t="shared" si="5"/>
        <v>0.25887131586771234</v>
      </c>
      <c r="H31" s="115">
        <f t="shared" si="0"/>
        <v>2282.1676084404949</v>
      </c>
      <c r="I31" s="113">
        <f t="shared" si="6"/>
        <v>228.21676084404953</v>
      </c>
      <c r="J31" s="113">
        <f t="shared" si="7"/>
        <v>3318.380588638086</v>
      </c>
      <c r="K31" s="115">
        <f t="shared" si="9"/>
        <v>228.21676084404953</v>
      </c>
      <c r="L31" s="113">
        <f t="shared" si="10"/>
        <v>3318.380588638086</v>
      </c>
      <c r="M31" s="135"/>
      <c r="N31" s="126"/>
      <c r="O31" s="126"/>
      <c r="P31" s="126"/>
      <c r="Q31" s="126"/>
      <c r="R31" s="126"/>
    </row>
    <row r="32" spans="1:18" x14ac:dyDescent="0.25">
      <c r="A32" s="111">
        <v>19</v>
      </c>
      <c r="B32" s="112">
        <f t="shared" si="8"/>
        <v>8771.7589057208934</v>
      </c>
      <c r="C32" s="114">
        <f t="shared" si="1"/>
        <v>0.24050863073077405</v>
      </c>
      <c r="D32" s="117">
        <f t="shared" si="2"/>
        <v>0.24050863073077405</v>
      </c>
      <c r="E32" s="115">
        <f t="shared" si="3"/>
        <v>-2109.6837235154048</v>
      </c>
      <c r="F32" s="110">
        <f t="shared" si="4"/>
        <v>0.24723181192308225</v>
      </c>
      <c r="G32" s="110">
        <f t="shared" si="5"/>
        <v>0.26723181192308226</v>
      </c>
      <c r="H32" s="115">
        <f t="shared" si="0"/>
        <v>2344.0930261282278</v>
      </c>
      <c r="I32" s="113">
        <f t="shared" si="6"/>
        <v>234.40930261282301</v>
      </c>
      <c r="J32" s="113">
        <f t="shared" si="7"/>
        <v>3552.789891250909</v>
      </c>
      <c r="K32" s="115">
        <f t="shared" si="9"/>
        <v>234.40930261282301</v>
      </c>
      <c r="L32" s="113">
        <f t="shared" si="10"/>
        <v>3552.789891250909</v>
      </c>
      <c r="M32" s="135"/>
      <c r="N32" s="126"/>
      <c r="O32" s="126"/>
      <c r="P32" s="126"/>
      <c r="Q32" s="126"/>
      <c r="R32" s="126"/>
    </row>
    <row r="33" spans="1:18" x14ac:dyDescent="0.25">
      <c r="A33" s="100">
        <v>20</v>
      </c>
      <c r="B33" s="101">
        <f t="shared" si="8"/>
        <v>8727.900111192288</v>
      </c>
      <c r="C33" s="102">
        <f t="shared" si="1"/>
        <v>0.24829643280635111</v>
      </c>
      <c r="D33" s="146">
        <f t="shared" si="2"/>
        <v>0.24829643280635111</v>
      </c>
      <c r="E33" s="99">
        <f t="shared" si="3"/>
        <v>-2167.1064634992003</v>
      </c>
      <c r="F33" s="103">
        <f t="shared" si="4"/>
        <v>0.25588492534039009</v>
      </c>
      <c r="G33" s="103">
        <f t="shared" si="5"/>
        <v>0.27588492534039011</v>
      </c>
      <c r="H33" s="99">
        <f t="shared" si="0"/>
        <v>2407.8960705546669</v>
      </c>
      <c r="I33" s="99">
        <f t="shared" si="6"/>
        <v>240.7896070554666</v>
      </c>
      <c r="J33" s="99">
        <f t="shared" si="7"/>
        <v>3793.5794983063756</v>
      </c>
      <c r="K33" s="99">
        <f t="shared" si="9"/>
        <v>240.7896070554666</v>
      </c>
      <c r="L33" s="99">
        <f t="shared" si="10"/>
        <v>3793.5794983063756</v>
      </c>
      <c r="M33" s="135"/>
      <c r="N33" s="126"/>
      <c r="O33" s="126"/>
      <c r="P33" s="126"/>
      <c r="Q33" s="126"/>
      <c r="R33" s="126"/>
    </row>
    <row r="34" spans="1:18" x14ac:dyDescent="0.25">
      <c r="A34" s="111">
        <v>21</v>
      </c>
      <c r="B34" s="112">
        <f t="shared" si="8"/>
        <v>8684.2606106363273</v>
      </c>
      <c r="C34" s="114">
        <f t="shared" si="1"/>
        <v>0.25635680795457338</v>
      </c>
      <c r="D34" s="117">
        <f t="shared" si="2"/>
        <v>0.25635680795457338</v>
      </c>
      <c r="E34" s="115">
        <f t="shared" si="3"/>
        <v>-2226.2693295883632</v>
      </c>
      <c r="F34" s="110">
        <f t="shared" si="4"/>
        <v>0.26484089772730374</v>
      </c>
      <c r="G34" s="110">
        <f t="shared" si="5"/>
        <v>0.28484089772730375</v>
      </c>
      <c r="H34" s="115">
        <f t="shared" si="0"/>
        <v>2473.6325884315147</v>
      </c>
      <c r="I34" s="113">
        <f t="shared" si="6"/>
        <v>247.36325884315147</v>
      </c>
      <c r="J34" s="113">
        <f t="shared" si="7"/>
        <v>4040.9427571495271</v>
      </c>
      <c r="K34" s="115">
        <f t="shared" si="9"/>
        <v>247.36325884315147</v>
      </c>
      <c r="L34" s="113">
        <f t="shared" si="10"/>
        <v>4040.9427571495271</v>
      </c>
      <c r="M34" s="135"/>
      <c r="N34" s="126"/>
      <c r="O34" s="126"/>
      <c r="P34" s="126"/>
      <c r="Q34" s="126"/>
      <c r="R34" s="126"/>
    </row>
    <row r="35" spans="1:18" x14ac:dyDescent="0.25">
      <c r="A35" s="111">
        <v>22</v>
      </c>
      <c r="B35" s="112">
        <f t="shared" si="8"/>
        <v>8640.8393075831464</v>
      </c>
      <c r="C35" s="114">
        <f t="shared" si="1"/>
        <v>0.26469929623298344</v>
      </c>
      <c r="D35" s="117">
        <f t="shared" si="2"/>
        <v>0.26469929623298344</v>
      </c>
      <c r="E35" s="115">
        <f t="shared" si="3"/>
        <v>-2287.2240835795587</v>
      </c>
      <c r="F35" s="110">
        <f t="shared" si="4"/>
        <v>0.27411032914775935</v>
      </c>
      <c r="G35" s="110">
        <f t="shared" si="5"/>
        <v>0.29411032914775936</v>
      </c>
      <c r="H35" s="115">
        <f t="shared" si="0"/>
        <v>2541.3600928661763</v>
      </c>
      <c r="I35" s="113">
        <f t="shared" si="6"/>
        <v>254.13600928661754</v>
      </c>
      <c r="J35" s="113">
        <f t="shared" si="7"/>
        <v>4295.0787664361451</v>
      </c>
      <c r="K35" s="115">
        <f t="shared" si="9"/>
        <v>254.13600928661754</v>
      </c>
      <c r="L35" s="113">
        <f t="shared" si="10"/>
        <v>4295.0787664361451</v>
      </c>
      <c r="M35" s="135"/>
      <c r="N35" s="126"/>
      <c r="O35" s="126"/>
      <c r="P35" s="126"/>
      <c r="Q35" s="126"/>
      <c r="R35" s="126"/>
    </row>
    <row r="36" spans="1:18" x14ac:dyDescent="0.25">
      <c r="A36" s="111">
        <v>23</v>
      </c>
      <c r="B36" s="112">
        <f t="shared" si="8"/>
        <v>8597.6351110452306</v>
      </c>
      <c r="C36" s="114">
        <f t="shared" si="1"/>
        <v>0.27333377160113781</v>
      </c>
      <c r="D36" s="117">
        <f t="shared" si="2"/>
        <v>0.27333377160113781</v>
      </c>
      <c r="E36" s="115">
        <f t="shared" si="3"/>
        <v>-2350.0240317523603</v>
      </c>
      <c r="F36" s="110">
        <f t="shared" si="4"/>
        <v>0.2837041906679309</v>
      </c>
      <c r="G36" s="110">
        <f t="shared" si="5"/>
        <v>0.30370419066793092</v>
      </c>
      <c r="H36" s="115">
        <f t="shared" si="0"/>
        <v>2611.1378130581779</v>
      </c>
      <c r="I36" s="113">
        <f t="shared" si="6"/>
        <v>261.11378130581761</v>
      </c>
      <c r="J36" s="113">
        <f t="shared" si="7"/>
        <v>4556.1925477419627</v>
      </c>
      <c r="K36" s="115">
        <f t="shared" si="9"/>
        <v>261.11378130581761</v>
      </c>
      <c r="L36" s="113">
        <f t="shared" si="10"/>
        <v>4556.1925477419627</v>
      </c>
      <c r="M36" s="135"/>
      <c r="N36" s="126"/>
      <c r="O36" s="126"/>
      <c r="P36" s="126"/>
      <c r="Q36" s="126"/>
      <c r="R36" s="126"/>
    </row>
    <row r="37" spans="1:18" x14ac:dyDescent="0.25">
      <c r="A37" s="111">
        <v>24</v>
      </c>
      <c r="B37" s="112">
        <f t="shared" si="8"/>
        <v>8554.6469354900037</v>
      </c>
      <c r="C37" s="114">
        <f t="shared" si="1"/>
        <v>0.28227045360717762</v>
      </c>
      <c r="D37" s="117">
        <f t="shared" si="2"/>
        <v>0.28227045360717762</v>
      </c>
      <c r="E37" s="115">
        <f t="shared" si="3"/>
        <v>-2414.7240709300154</v>
      </c>
      <c r="F37" s="110">
        <f t="shared" si="4"/>
        <v>0.29363383734130843</v>
      </c>
      <c r="G37" s="110">
        <f t="shared" si="5"/>
        <v>0.31363383734130845</v>
      </c>
      <c r="H37" s="115">
        <f t="shared" si="0"/>
        <v>2683.0267454777945</v>
      </c>
      <c r="I37" s="113">
        <f t="shared" si="6"/>
        <v>268.30267454777913</v>
      </c>
      <c r="J37" s="113">
        <f t="shared" si="7"/>
        <v>4824.4952222897418</v>
      </c>
      <c r="K37" s="115">
        <f t="shared" si="9"/>
        <v>268.30267454777913</v>
      </c>
      <c r="L37" s="113">
        <f t="shared" si="10"/>
        <v>4824.4952222897418</v>
      </c>
      <c r="M37" s="135"/>
      <c r="N37" s="126"/>
      <c r="O37" s="126"/>
      <c r="P37" s="126"/>
      <c r="Q37" s="126"/>
      <c r="R37" s="126"/>
    </row>
    <row r="38" spans="1:18" x14ac:dyDescent="0.25">
      <c r="A38" s="100">
        <v>25</v>
      </c>
      <c r="B38" s="101">
        <f t="shared" si="8"/>
        <v>8511.8737008125536</v>
      </c>
      <c r="C38" s="102">
        <f t="shared" si="1"/>
        <v>0.29151991948342881</v>
      </c>
      <c r="D38" s="146">
        <f t="shared" si="2"/>
        <v>0.29151991948342881</v>
      </c>
      <c r="E38" s="99">
        <f t="shared" si="3"/>
        <v>-2481.380735913991</v>
      </c>
      <c r="F38" s="103">
        <f t="shared" si="4"/>
        <v>0.30391102164825423</v>
      </c>
      <c r="G38" s="103">
        <f t="shared" si="5"/>
        <v>0.32391102164825425</v>
      </c>
      <c r="H38" s="99">
        <f t="shared" si="0"/>
        <v>2757.089706571101</v>
      </c>
      <c r="I38" s="99">
        <f t="shared" si="6"/>
        <v>275.70897065711006</v>
      </c>
      <c r="J38" s="99">
        <f t="shared" si="7"/>
        <v>5100.2041929468523</v>
      </c>
      <c r="K38" s="99">
        <f t="shared" si="9"/>
        <v>275.70897065711006</v>
      </c>
      <c r="L38" s="99">
        <f t="shared" si="10"/>
        <v>5100.2041929468523</v>
      </c>
      <c r="M38" s="126"/>
      <c r="N38" s="126"/>
      <c r="O38" s="126"/>
      <c r="P38" s="126"/>
      <c r="Q38" s="126"/>
      <c r="R38" s="126"/>
    </row>
    <row r="39" spans="1:18" x14ac:dyDescent="0.25">
      <c r="A39" s="126"/>
      <c r="B39" s="126"/>
      <c r="C39" s="126"/>
      <c r="D39" s="126"/>
      <c r="E39" s="126"/>
      <c r="F39" s="126"/>
      <c r="G39" s="126"/>
      <c r="H39" s="127"/>
      <c r="I39" s="126"/>
      <c r="J39" s="126"/>
      <c r="K39" s="126"/>
      <c r="L39" s="126"/>
      <c r="M39" s="126"/>
      <c r="N39" s="126"/>
      <c r="O39" s="126"/>
      <c r="P39" s="126"/>
      <c r="Q39" s="126"/>
      <c r="R39" s="126"/>
    </row>
    <row r="40" spans="1:18" x14ac:dyDescent="0.25">
      <c r="A40" s="126"/>
      <c r="B40" s="126"/>
      <c r="C40" s="126"/>
      <c r="D40" s="126"/>
      <c r="E40" s="126"/>
      <c r="F40" s="126"/>
      <c r="G40" s="126"/>
      <c r="H40" s="126"/>
      <c r="I40" s="126"/>
      <c r="J40" s="126"/>
      <c r="K40" s="126"/>
      <c r="L40" s="126"/>
      <c r="M40" s="126"/>
      <c r="N40" s="126"/>
      <c r="O40" s="126"/>
      <c r="P40" s="126"/>
      <c r="Q40" s="126"/>
      <c r="R40" s="126"/>
    </row>
    <row r="41" spans="1:18" x14ac:dyDescent="0.25">
      <c r="A41" s="126"/>
      <c r="B41" s="126"/>
      <c r="C41" s="126"/>
      <c r="D41" s="126"/>
      <c r="E41" s="126"/>
      <c r="F41" s="126"/>
      <c r="G41" s="126"/>
      <c r="H41" s="126"/>
      <c r="I41" s="126"/>
      <c r="J41" s="126"/>
      <c r="K41" s="126"/>
      <c r="L41" s="126"/>
      <c r="M41" s="126"/>
      <c r="N41" s="126"/>
      <c r="O41" s="126"/>
      <c r="P41" s="126"/>
      <c r="Q41" s="126"/>
      <c r="R41" s="126"/>
    </row>
    <row r="42" spans="1:18" x14ac:dyDescent="0.25">
      <c r="A42" s="126"/>
      <c r="B42" s="126"/>
      <c r="C42" s="126"/>
      <c r="D42" s="126"/>
      <c r="E42" s="126"/>
      <c r="F42" s="126"/>
      <c r="G42" s="126"/>
      <c r="H42" s="126"/>
      <c r="I42" s="126"/>
      <c r="J42" s="126"/>
      <c r="K42" s="126"/>
      <c r="L42" s="126"/>
      <c r="M42" s="126"/>
      <c r="N42" s="126"/>
      <c r="O42" s="126"/>
      <c r="P42" s="126"/>
      <c r="Q42" s="126"/>
      <c r="R42" s="126"/>
    </row>
  </sheetData>
  <mergeCells count="20">
    <mergeCell ref="A5:C5"/>
    <mergeCell ref="E5:J5"/>
    <mergeCell ref="A6:C6"/>
    <mergeCell ref="E6:J6"/>
    <mergeCell ref="A2:D2"/>
    <mergeCell ref="E2:J2"/>
    <mergeCell ref="A3:C3"/>
    <mergeCell ref="E3:J3"/>
    <mergeCell ref="A4:C4"/>
    <mergeCell ref="E4:J4"/>
    <mergeCell ref="A7:C7"/>
    <mergeCell ref="E7:J7"/>
    <mergeCell ref="A11:C11"/>
    <mergeCell ref="E11:J11"/>
    <mergeCell ref="A8:C8"/>
    <mergeCell ref="E8:J8"/>
    <mergeCell ref="A9:C9"/>
    <mergeCell ref="E9:J9"/>
    <mergeCell ref="A10:C10"/>
    <mergeCell ref="E10:J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workbookViewId="0">
      <selection activeCell="A2" sqref="A2:D2"/>
    </sheetView>
  </sheetViews>
  <sheetFormatPr defaultColWidth="8.85546875" defaultRowHeight="15" x14ac:dyDescent="0.25"/>
  <cols>
    <col min="1" max="1" width="9.140625" style="106" customWidth="1"/>
    <col min="2" max="2" width="11.28515625" style="106" customWidth="1"/>
    <col min="3" max="3" width="15.7109375" style="106" customWidth="1"/>
    <col min="4" max="4" width="13.7109375" style="106" customWidth="1"/>
    <col min="5" max="5" width="11.85546875" style="106" customWidth="1"/>
    <col min="6" max="6" width="13.42578125" style="106" customWidth="1"/>
    <col min="7" max="7" width="14" style="106" customWidth="1"/>
    <col min="8" max="8" width="11.7109375" style="106" customWidth="1"/>
    <col min="9" max="9" width="12.85546875" style="106" customWidth="1"/>
    <col min="10" max="10" width="12.42578125" style="106" customWidth="1"/>
    <col min="11" max="11" width="15.28515625" style="106" customWidth="1"/>
    <col min="12" max="12" width="13.42578125" style="106" customWidth="1"/>
    <col min="13" max="16384" width="8.85546875" style="106"/>
  </cols>
  <sheetData>
    <row r="1" spans="1:18" s="118" customFormat="1" ht="30" customHeight="1" x14ac:dyDescent="0.25">
      <c r="A1" s="119" t="s">
        <v>74</v>
      </c>
      <c r="B1" s="120" t="s">
        <v>136</v>
      </c>
      <c r="C1" s="120"/>
      <c r="D1" s="120"/>
      <c r="E1" s="120"/>
      <c r="F1" s="120"/>
      <c r="G1" s="120"/>
      <c r="H1" s="120"/>
      <c r="I1" s="120"/>
      <c r="J1" s="121"/>
      <c r="K1" s="128"/>
      <c r="L1" s="128"/>
      <c r="M1" s="128"/>
      <c r="N1" s="128"/>
      <c r="O1" s="128"/>
      <c r="P1" s="128"/>
      <c r="Q1" s="128"/>
      <c r="R1" s="128"/>
    </row>
    <row r="2" spans="1:18" s="107" customFormat="1" x14ac:dyDescent="0.25">
      <c r="A2" s="210" t="s">
        <v>75</v>
      </c>
      <c r="B2" s="210"/>
      <c r="C2" s="210"/>
      <c r="D2" s="210"/>
      <c r="E2" s="211" t="s">
        <v>54</v>
      </c>
      <c r="F2" s="211"/>
      <c r="G2" s="211"/>
      <c r="H2" s="211"/>
      <c r="I2" s="211"/>
      <c r="J2" s="211"/>
      <c r="K2" s="129"/>
      <c r="L2" s="129"/>
      <c r="M2" s="129"/>
      <c r="N2" s="129"/>
      <c r="O2" s="129"/>
      <c r="P2" s="129"/>
      <c r="Q2" s="129"/>
      <c r="R2" s="129"/>
    </row>
    <row r="3" spans="1:18" ht="14.45" customHeight="1" x14ac:dyDescent="0.25">
      <c r="A3" s="212" t="s">
        <v>101</v>
      </c>
      <c r="B3" s="213"/>
      <c r="C3" s="214"/>
      <c r="D3" s="137">
        <f>'Xcel CSG Calculator'!H7</f>
        <v>9600</v>
      </c>
      <c r="E3" s="215" t="s">
        <v>102</v>
      </c>
      <c r="F3" s="215"/>
      <c r="G3" s="215"/>
      <c r="H3" s="215"/>
      <c r="I3" s="215"/>
      <c r="J3" s="215"/>
      <c r="K3" s="126"/>
      <c r="L3" s="126"/>
      <c r="M3" s="126"/>
      <c r="N3" s="126"/>
      <c r="O3" s="126"/>
      <c r="P3" s="126"/>
      <c r="Q3" s="126"/>
      <c r="R3" s="126"/>
    </row>
    <row r="4" spans="1:18" x14ac:dyDescent="0.25">
      <c r="A4" s="217" t="s">
        <v>77</v>
      </c>
      <c r="B4" s="217"/>
      <c r="C4" s="217"/>
      <c r="D4" s="132">
        <f>D14</f>
        <v>0.140852</v>
      </c>
      <c r="E4" s="217" t="s">
        <v>78</v>
      </c>
      <c r="F4" s="217"/>
      <c r="G4" s="217"/>
      <c r="H4" s="217"/>
      <c r="I4" s="217"/>
      <c r="J4" s="217"/>
      <c r="K4" s="126"/>
      <c r="L4" s="126"/>
      <c r="M4" s="126"/>
      <c r="N4" s="126"/>
      <c r="O4" s="126"/>
      <c r="P4" s="126"/>
      <c r="Q4" s="126"/>
      <c r="R4" s="126"/>
    </row>
    <row r="5" spans="1:18" x14ac:dyDescent="0.25">
      <c r="A5" s="217" t="s">
        <v>79</v>
      </c>
      <c r="B5" s="217"/>
      <c r="C5" s="217"/>
      <c r="D5" s="136">
        <f>'Xcel CSG Calculator'!H8</f>
        <v>0.1331</v>
      </c>
      <c r="E5" s="217" t="s">
        <v>80</v>
      </c>
      <c r="F5" s="217"/>
      <c r="G5" s="217"/>
      <c r="H5" s="217"/>
      <c r="I5" s="217"/>
      <c r="J5" s="217"/>
      <c r="K5" s="126"/>
      <c r="L5" s="126"/>
      <c r="M5" s="126"/>
      <c r="N5" s="126"/>
      <c r="O5" s="126"/>
      <c r="P5" s="126"/>
      <c r="Q5" s="126"/>
      <c r="R5" s="126"/>
    </row>
    <row r="6" spans="1:18" x14ac:dyDescent="0.25">
      <c r="A6" s="217" t="s">
        <v>81</v>
      </c>
      <c r="B6" s="217"/>
      <c r="C6" s="217"/>
      <c r="D6" s="133">
        <f>'Xcel CSG Calculator'!H9</f>
        <v>0.02</v>
      </c>
      <c r="E6" s="217" t="s">
        <v>82</v>
      </c>
      <c r="F6" s="217"/>
      <c r="G6" s="217"/>
      <c r="H6" s="217"/>
      <c r="I6" s="217"/>
      <c r="J6" s="217"/>
      <c r="K6" s="126"/>
      <c r="L6" s="126"/>
      <c r="M6" s="126"/>
      <c r="N6" s="126"/>
      <c r="O6" s="126"/>
      <c r="P6" s="126"/>
      <c r="Q6" s="126"/>
      <c r="R6" s="126"/>
    </row>
    <row r="7" spans="1:18" x14ac:dyDescent="0.25">
      <c r="A7" s="217" t="s">
        <v>85</v>
      </c>
      <c r="B7" s="217"/>
      <c r="C7" s="217"/>
      <c r="D7" s="131">
        <v>5.0000000000000001E-3</v>
      </c>
      <c r="E7" s="217" t="s">
        <v>86</v>
      </c>
      <c r="F7" s="217"/>
      <c r="G7" s="217"/>
      <c r="H7" s="217"/>
      <c r="I7" s="217"/>
      <c r="J7" s="217"/>
      <c r="K7" s="126"/>
      <c r="L7" s="126"/>
      <c r="M7" s="126"/>
      <c r="N7" s="126"/>
      <c r="O7" s="126"/>
      <c r="P7" s="126"/>
      <c r="Q7" s="126"/>
      <c r="R7" s="126"/>
    </row>
    <row r="8" spans="1:18" x14ac:dyDescent="0.25">
      <c r="A8" s="217" t="s">
        <v>87</v>
      </c>
      <c r="B8" s="217"/>
      <c r="C8" s="217"/>
      <c r="D8" s="131">
        <f>'Xcel CSG Calculator'!H10</f>
        <v>3.5000000000000003E-2</v>
      </c>
      <c r="E8" s="217" t="s">
        <v>103</v>
      </c>
      <c r="F8" s="217"/>
      <c r="G8" s="217"/>
      <c r="H8" s="217"/>
      <c r="I8" s="217"/>
      <c r="J8" s="217"/>
      <c r="K8" s="126"/>
      <c r="L8" s="126"/>
      <c r="M8" s="126"/>
      <c r="N8" s="126"/>
      <c r="O8" s="126"/>
      <c r="P8" s="126"/>
      <c r="Q8" s="126"/>
      <c r="R8" s="126"/>
    </row>
    <row r="9" spans="1:18" x14ac:dyDescent="0.25">
      <c r="A9" s="217" t="s">
        <v>110</v>
      </c>
      <c r="B9" s="217"/>
      <c r="C9" s="217"/>
      <c r="D9" s="138">
        <f>'Xcel CSG Calculator'!H26</f>
        <v>0.08</v>
      </c>
      <c r="E9" s="217" t="s">
        <v>105</v>
      </c>
      <c r="F9" s="217"/>
      <c r="G9" s="217"/>
      <c r="H9" s="217"/>
      <c r="I9" s="217"/>
      <c r="J9" s="217"/>
      <c r="K9" s="126"/>
      <c r="L9" s="126"/>
      <c r="M9" s="126"/>
      <c r="N9" s="126"/>
      <c r="O9" s="126"/>
      <c r="P9" s="126"/>
      <c r="Q9" s="126"/>
      <c r="R9" s="126"/>
    </row>
    <row r="10" spans="1:18" x14ac:dyDescent="0.25">
      <c r="A10" s="217" t="s">
        <v>111</v>
      </c>
      <c r="B10" s="217"/>
      <c r="C10" s="217"/>
      <c r="D10" s="139">
        <f>'Xcel CSG Calculator'!I26</f>
        <v>0</v>
      </c>
      <c r="E10" s="217" t="s">
        <v>107</v>
      </c>
      <c r="F10" s="217"/>
      <c r="G10" s="217"/>
      <c r="H10" s="217"/>
      <c r="I10" s="217"/>
      <c r="J10" s="217"/>
      <c r="K10" s="126"/>
      <c r="L10" s="126"/>
      <c r="M10" s="126"/>
      <c r="N10" s="126"/>
      <c r="O10" s="126"/>
      <c r="P10" s="126"/>
      <c r="Q10" s="126"/>
      <c r="R10" s="126"/>
    </row>
    <row r="11" spans="1:18" x14ac:dyDescent="0.25">
      <c r="A11" s="217" t="s">
        <v>18</v>
      </c>
      <c r="B11" s="217"/>
      <c r="C11" s="217"/>
      <c r="D11" s="131">
        <f>'Xcel CSG Calculator'!H11</f>
        <v>0</v>
      </c>
      <c r="E11" s="217" t="s">
        <v>89</v>
      </c>
      <c r="F11" s="217"/>
      <c r="G11" s="217"/>
      <c r="H11" s="217"/>
      <c r="I11" s="217"/>
      <c r="J11" s="217"/>
      <c r="K11" s="126"/>
      <c r="L11" s="126"/>
      <c r="M11" s="126"/>
      <c r="N11" s="126"/>
      <c r="O11" s="126"/>
      <c r="P11" s="126"/>
      <c r="Q11" s="126"/>
      <c r="R11" s="126"/>
    </row>
    <row r="12" spans="1:18" s="108" customFormat="1" x14ac:dyDescent="0.25">
      <c r="A12" s="124"/>
      <c r="B12" s="124"/>
      <c r="C12" s="124"/>
      <c r="D12" s="125"/>
      <c r="E12" s="125"/>
      <c r="F12" s="125"/>
      <c r="G12" s="125"/>
      <c r="H12" s="125"/>
      <c r="I12" s="125"/>
      <c r="J12" s="125"/>
      <c r="K12" s="130"/>
      <c r="L12" s="130"/>
      <c r="M12" s="130"/>
      <c r="N12" s="130"/>
      <c r="O12" s="130"/>
      <c r="P12" s="130"/>
      <c r="Q12" s="130"/>
      <c r="R12" s="130"/>
    </row>
    <row r="13" spans="1:18" ht="60" x14ac:dyDescent="0.25">
      <c r="A13" s="109" t="s">
        <v>90</v>
      </c>
      <c r="B13" s="109" t="s">
        <v>91</v>
      </c>
      <c r="C13" s="109" t="s">
        <v>108</v>
      </c>
      <c r="D13" s="109" t="s">
        <v>109</v>
      </c>
      <c r="E13" s="116" t="s">
        <v>93</v>
      </c>
      <c r="F13" s="109" t="s">
        <v>94</v>
      </c>
      <c r="G13" s="109" t="s">
        <v>95</v>
      </c>
      <c r="H13" s="116" t="s">
        <v>96</v>
      </c>
      <c r="I13" s="109" t="s">
        <v>97</v>
      </c>
      <c r="J13" s="109" t="s">
        <v>98</v>
      </c>
      <c r="K13" s="116" t="s">
        <v>99</v>
      </c>
      <c r="L13" s="109" t="s">
        <v>100</v>
      </c>
      <c r="M13" s="135"/>
      <c r="N13" s="126"/>
      <c r="O13" s="126"/>
      <c r="P13" s="126"/>
      <c r="Q13" s="126"/>
      <c r="R13" s="126"/>
    </row>
    <row r="14" spans="1:18" x14ac:dyDescent="0.25">
      <c r="A14" s="111">
        <v>1</v>
      </c>
      <c r="B14" s="112">
        <f>$D$3</f>
        <v>9600</v>
      </c>
      <c r="C14" s="114">
        <f>G14*(1-$D$9)</f>
        <v>0.140852</v>
      </c>
      <c r="D14" s="117">
        <f>IF(C14&lt;$D$10,$D$10,C14)</f>
        <v>0.140852</v>
      </c>
      <c r="E14" s="115">
        <f>B14*D14*-1</f>
        <v>-1352.1792</v>
      </c>
      <c r="F14" s="110">
        <f>D5</f>
        <v>0.1331</v>
      </c>
      <c r="G14" s="110">
        <f>F14+$D$6</f>
        <v>0.15309999999999999</v>
      </c>
      <c r="H14" s="115">
        <f t="shared" ref="H14:H38" si="0">B14*G14</f>
        <v>1469.7599999999998</v>
      </c>
      <c r="I14" s="113">
        <f>E14+H14</f>
        <v>117.58079999999973</v>
      </c>
      <c r="J14" s="113">
        <f>I14</f>
        <v>117.58079999999973</v>
      </c>
      <c r="K14" s="115">
        <f>I14/(1+$D$11)^($A14-1)</f>
        <v>117.58079999999973</v>
      </c>
      <c r="L14" s="113">
        <f>K14</f>
        <v>117.58079999999973</v>
      </c>
      <c r="M14" s="135"/>
      <c r="N14" s="126"/>
      <c r="O14" s="126"/>
      <c r="P14" s="126"/>
      <c r="Q14" s="126"/>
      <c r="R14" s="126"/>
    </row>
    <row r="15" spans="1:18" x14ac:dyDescent="0.25">
      <c r="A15" s="111">
        <v>2</v>
      </c>
      <c r="B15" s="112">
        <f>B14*(1-$D$7)</f>
        <v>9552</v>
      </c>
      <c r="C15" s="114">
        <f t="shared" ref="C15:C38" si="1">G15*(1-$D$9)</f>
        <v>0.14513781999999997</v>
      </c>
      <c r="D15" s="117">
        <f t="shared" ref="D15:D38" si="2">IF(C15&lt;$D$10,$D$10,C15)</f>
        <v>0.14513781999999997</v>
      </c>
      <c r="E15" s="115">
        <f t="shared" ref="E15:E38" si="3">B15*D15*-1</f>
        <v>-1386.3564566399998</v>
      </c>
      <c r="F15" s="110">
        <f t="shared" ref="F15:F38" si="4">F14*(1+$D$8)</f>
        <v>0.13775849999999998</v>
      </c>
      <c r="G15" s="110">
        <f t="shared" ref="G15:G38" si="5">F15+$D$6</f>
        <v>0.15775849999999997</v>
      </c>
      <c r="H15" s="115">
        <f t="shared" si="0"/>
        <v>1506.9091919999996</v>
      </c>
      <c r="I15" s="113">
        <f t="shared" ref="I15:I38" si="6">E15+H15</f>
        <v>120.55273535999982</v>
      </c>
      <c r="J15" s="113">
        <f t="shared" ref="J15:J38" si="7">J14+I15</f>
        <v>238.13353535999954</v>
      </c>
      <c r="K15" s="115">
        <f>I15/(1+$D$11)^($A15-1)</f>
        <v>120.55273535999982</v>
      </c>
      <c r="L15" s="113">
        <f>K15+L14</f>
        <v>238.13353535999954</v>
      </c>
      <c r="M15" s="135"/>
      <c r="N15" s="126"/>
      <c r="O15" s="126"/>
      <c r="P15" s="126"/>
      <c r="Q15" s="126"/>
      <c r="R15" s="126"/>
    </row>
    <row r="16" spans="1:18" x14ac:dyDescent="0.25">
      <c r="A16" s="111">
        <v>3</v>
      </c>
      <c r="B16" s="112">
        <f t="shared" ref="B16:B38" si="8">B15*(1-$D$7)</f>
        <v>9504.24</v>
      </c>
      <c r="C16" s="114">
        <f t="shared" si="1"/>
        <v>0.14957364369999998</v>
      </c>
      <c r="D16" s="117">
        <f t="shared" si="2"/>
        <v>0.14957364369999998</v>
      </c>
      <c r="E16" s="115">
        <f t="shared" si="3"/>
        <v>-1421.5838073992877</v>
      </c>
      <c r="F16" s="110">
        <f t="shared" si="4"/>
        <v>0.14258004749999997</v>
      </c>
      <c r="G16" s="110">
        <f t="shared" si="5"/>
        <v>0.16258004749999996</v>
      </c>
      <c r="H16" s="115">
        <f t="shared" si="0"/>
        <v>1545.1997906513996</v>
      </c>
      <c r="I16" s="113">
        <f t="shared" si="6"/>
        <v>123.61598325211185</v>
      </c>
      <c r="J16" s="113">
        <f t="shared" si="7"/>
        <v>361.74951861211139</v>
      </c>
      <c r="K16" s="115">
        <f t="shared" ref="K16:K38" si="9">I16/(1+$D$11)^($A16-1)</f>
        <v>123.61598325211185</v>
      </c>
      <c r="L16" s="113">
        <f t="shared" ref="L16:L38" si="10">K16+L15</f>
        <v>361.74951861211139</v>
      </c>
      <c r="M16" s="135"/>
      <c r="N16" s="126"/>
      <c r="O16" s="126"/>
      <c r="P16" s="126"/>
      <c r="Q16" s="126"/>
      <c r="R16" s="126"/>
    </row>
    <row r="17" spans="1:18" x14ac:dyDescent="0.25">
      <c r="A17" s="111">
        <v>4</v>
      </c>
      <c r="B17" s="112">
        <f t="shared" si="8"/>
        <v>9456.7188000000006</v>
      </c>
      <c r="C17" s="114">
        <f t="shared" si="1"/>
        <v>0.15416472122949995</v>
      </c>
      <c r="D17" s="117">
        <f t="shared" si="2"/>
        <v>0.15416472122949995</v>
      </c>
      <c r="E17" s="115">
        <f t="shared" si="3"/>
        <v>-1457.8924175477714</v>
      </c>
      <c r="F17" s="110">
        <f t="shared" si="4"/>
        <v>0.14757034916249995</v>
      </c>
      <c r="G17" s="110">
        <f t="shared" si="5"/>
        <v>0.16757034916249994</v>
      </c>
      <c r="H17" s="115">
        <f t="shared" si="0"/>
        <v>1584.6656712475776</v>
      </c>
      <c r="I17" s="113">
        <f t="shared" si="6"/>
        <v>126.77325369980622</v>
      </c>
      <c r="J17" s="113">
        <f t="shared" si="7"/>
        <v>488.52277231191761</v>
      </c>
      <c r="K17" s="115">
        <f t="shared" si="9"/>
        <v>126.77325369980622</v>
      </c>
      <c r="L17" s="113">
        <f t="shared" si="10"/>
        <v>488.52277231191761</v>
      </c>
      <c r="M17" s="135"/>
      <c r="N17" s="126"/>
      <c r="O17" s="126"/>
      <c r="P17" s="126"/>
      <c r="Q17" s="126"/>
      <c r="R17" s="126"/>
    </row>
    <row r="18" spans="1:18" x14ac:dyDescent="0.25">
      <c r="A18" s="100">
        <v>5</v>
      </c>
      <c r="B18" s="101">
        <f t="shared" si="8"/>
        <v>9409.4352060000001</v>
      </c>
      <c r="C18" s="102">
        <f t="shared" si="1"/>
        <v>0.15891648647253245</v>
      </c>
      <c r="D18" s="146">
        <f t="shared" si="2"/>
        <v>0.15891648647253245</v>
      </c>
      <c r="E18" s="99">
        <f t="shared" si="3"/>
        <v>-1495.3143826284697</v>
      </c>
      <c r="F18" s="103">
        <f t="shared" si="4"/>
        <v>0.15273531138318744</v>
      </c>
      <c r="G18" s="103">
        <f t="shared" si="5"/>
        <v>0.17273531138318743</v>
      </c>
      <c r="H18" s="99">
        <f t="shared" si="0"/>
        <v>1625.3417202483363</v>
      </c>
      <c r="I18" s="99">
        <f t="shared" si="6"/>
        <v>130.02733761986656</v>
      </c>
      <c r="J18" s="99">
        <f t="shared" si="7"/>
        <v>618.55010993178416</v>
      </c>
      <c r="K18" s="99">
        <f t="shared" si="9"/>
        <v>130.02733761986656</v>
      </c>
      <c r="L18" s="99">
        <f t="shared" si="10"/>
        <v>618.55010993178416</v>
      </c>
      <c r="M18" s="135"/>
      <c r="N18" s="126"/>
      <c r="O18" s="126"/>
      <c r="P18" s="126"/>
      <c r="Q18" s="126"/>
      <c r="R18" s="126"/>
    </row>
    <row r="19" spans="1:18" x14ac:dyDescent="0.25">
      <c r="A19" s="111">
        <v>6</v>
      </c>
      <c r="B19" s="112">
        <f t="shared" si="8"/>
        <v>9362.3880299699995</v>
      </c>
      <c r="C19" s="114">
        <f t="shared" si="1"/>
        <v>0.16383456349907108</v>
      </c>
      <c r="D19" s="117">
        <f t="shared" si="2"/>
        <v>0.16383456349907108</v>
      </c>
      <c r="E19" s="115">
        <f t="shared" si="3"/>
        <v>-1533.8827561990629</v>
      </c>
      <c r="F19" s="110">
        <f t="shared" si="4"/>
        <v>0.158081047281599</v>
      </c>
      <c r="G19" s="110">
        <f t="shared" si="5"/>
        <v>0.17808104728159899</v>
      </c>
      <c r="H19" s="115">
        <f t="shared" si="0"/>
        <v>1667.2638654337638</v>
      </c>
      <c r="I19" s="113">
        <f t="shared" si="6"/>
        <v>133.38110923470094</v>
      </c>
      <c r="J19" s="113">
        <f t="shared" si="7"/>
        <v>751.93121916648511</v>
      </c>
      <c r="K19" s="115">
        <f t="shared" si="9"/>
        <v>133.38110923470094</v>
      </c>
      <c r="L19" s="113">
        <f t="shared" si="10"/>
        <v>751.93121916648511</v>
      </c>
      <c r="M19" s="135"/>
      <c r="N19" s="126"/>
      <c r="O19" s="126"/>
      <c r="P19" s="126"/>
      <c r="Q19" s="126"/>
      <c r="R19" s="126"/>
    </row>
    <row r="20" spans="1:18" x14ac:dyDescent="0.25">
      <c r="A20" s="111">
        <v>7</v>
      </c>
      <c r="B20" s="112">
        <f t="shared" si="8"/>
        <v>9315.5760898201497</v>
      </c>
      <c r="C20" s="114">
        <f t="shared" si="1"/>
        <v>0.16892477322153857</v>
      </c>
      <c r="D20" s="117">
        <f t="shared" si="2"/>
        <v>0.16892477322153857</v>
      </c>
      <c r="E20" s="115">
        <f t="shared" si="3"/>
        <v>-1573.6315784008557</v>
      </c>
      <c r="F20" s="110">
        <f t="shared" si="4"/>
        <v>0.16361388393645496</v>
      </c>
      <c r="G20" s="110">
        <f t="shared" si="5"/>
        <v>0.18361388393645495</v>
      </c>
      <c r="H20" s="115">
        <f t="shared" si="0"/>
        <v>1710.4691069574517</v>
      </c>
      <c r="I20" s="113">
        <f t="shared" si="6"/>
        <v>136.837528556596</v>
      </c>
      <c r="J20" s="113">
        <f t="shared" si="7"/>
        <v>888.76874772308111</v>
      </c>
      <c r="K20" s="115">
        <f t="shared" si="9"/>
        <v>136.837528556596</v>
      </c>
      <c r="L20" s="113">
        <f t="shared" si="10"/>
        <v>888.76874772308111</v>
      </c>
      <c r="M20" s="135"/>
      <c r="N20" s="126"/>
      <c r="O20" s="126"/>
      <c r="P20" s="126"/>
      <c r="Q20" s="126"/>
      <c r="R20" s="126"/>
    </row>
    <row r="21" spans="1:18" x14ac:dyDescent="0.25">
      <c r="A21" s="111">
        <v>8</v>
      </c>
      <c r="B21" s="112">
        <f t="shared" si="8"/>
        <v>9268.9982093710496</v>
      </c>
      <c r="C21" s="114">
        <f t="shared" si="1"/>
        <v>0.17419314028429239</v>
      </c>
      <c r="D21" s="117">
        <f t="shared" si="2"/>
        <v>0.17419314028429239</v>
      </c>
      <c r="E21" s="115">
        <f t="shared" si="3"/>
        <v>-1614.5959053798263</v>
      </c>
      <c r="F21" s="110">
        <f t="shared" si="4"/>
        <v>0.16934036987423087</v>
      </c>
      <c r="G21" s="110">
        <f t="shared" si="5"/>
        <v>0.18934036987423086</v>
      </c>
      <c r="H21" s="115">
        <f t="shared" si="0"/>
        <v>1754.9955493258981</v>
      </c>
      <c r="I21" s="113">
        <f t="shared" si="6"/>
        <v>140.39964394607182</v>
      </c>
      <c r="J21" s="113">
        <f t="shared" si="7"/>
        <v>1029.1683916691529</v>
      </c>
      <c r="K21" s="115">
        <f t="shared" si="9"/>
        <v>140.39964394607182</v>
      </c>
      <c r="L21" s="113">
        <f t="shared" si="10"/>
        <v>1029.1683916691529</v>
      </c>
      <c r="M21" s="135"/>
      <c r="N21" s="126"/>
      <c r="O21" s="126"/>
      <c r="P21" s="126"/>
      <c r="Q21" s="126"/>
      <c r="R21" s="126"/>
    </row>
    <row r="22" spans="1:18" x14ac:dyDescent="0.25">
      <c r="A22" s="111">
        <v>9</v>
      </c>
      <c r="B22" s="112">
        <f t="shared" si="8"/>
        <v>9222.6532183241943</v>
      </c>
      <c r="C22" s="114">
        <f t="shared" si="1"/>
        <v>0.17964590019424265</v>
      </c>
      <c r="D22" s="117">
        <f t="shared" si="2"/>
        <v>0.17964590019424265</v>
      </c>
      <c r="E22" s="115">
        <f t="shared" si="3"/>
        <v>-1656.8118395851789</v>
      </c>
      <c r="F22" s="110">
        <f t="shared" si="4"/>
        <v>0.17526728281982895</v>
      </c>
      <c r="G22" s="110">
        <f t="shared" si="5"/>
        <v>0.19526728281982894</v>
      </c>
      <c r="H22" s="115">
        <f t="shared" si="0"/>
        <v>1800.882434331716</v>
      </c>
      <c r="I22" s="113">
        <f t="shared" si="6"/>
        <v>144.07059474653715</v>
      </c>
      <c r="J22" s="113">
        <f t="shared" si="7"/>
        <v>1173.2389864156901</v>
      </c>
      <c r="K22" s="115">
        <f t="shared" si="9"/>
        <v>144.07059474653715</v>
      </c>
      <c r="L22" s="113">
        <f t="shared" si="10"/>
        <v>1173.2389864156901</v>
      </c>
      <c r="M22" s="135"/>
      <c r="N22" s="126"/>
      <c r="O22" s="126"/>
      <c r="P22" s="126"/>
      <c r="Q22" s="126"/>
      <c r="R22" s="126"/>
    </row>
    <row r="23" spans="1:18" x14ac:dyDescent="0.25">
      <c r="A23" s="100">
        <v>10</v>
      </c>
      <c r="B23" s="101">
        <f t="shared" si="8"/>
        <v>9176.5399522325733</v>
      </c>
      <c r="C23" s="102">
        <f t="shared" si="1"/>
        <v>0.18528950670104111</v>
      </c>
      <c r="D23" s="146">
        <f t="shared" si="2"/>
        <v>0.18528950670104111</v>
      </c>
      <c r="E23" s="99">
        <f t="shared" si="3"/>
        <v>-1700.3165609715688</v>
      </c>
      <c r="F23" s="103">
        <f t="shared" si="4"/>
        <v>0.18140163771852294</v>
      </c>
      <c r="G23" s="103">
        <f t="shared" si="5"/>
        <v>0.20140163771852293</v>
      </c>
      <c r="H23" s="99">
        <f t="shared" si="0"/>
        <v>1848.1701749690965</v>
      </c>
      <c r="I23" s="99">
        <f t="shared" si="6"/>
        <v>147.85361399752765</v>
      </c>
      <c r="J23" s="99">
        <f t="shared" si="7"/>
        <v>1321.0926004132177</v>
      </c>
      <c r="K23" s="99">
        <f t="shared" si="9"/>
        <v>147.85361399752765</v>
      </c>
      <c r="L23" s="99">
        <f t="shared" si="10"/>
        <v>1321.0926004132177</v>
      </c>
      <c r="M23" s="135"/>
      <c r="N23" s="126"/>
      <c r="O23" s="126"/>
      <c r="P23" s="126"/>
      <c r="Q23" s="126"/>
      <c r="R23" s="126"/>
    </row>
    <row r="24" spans="1:18" x14ac:dyDescent="0.25">
      <c r="A24" s="111">
        <v>11</v>
      </c>
      <c r="B24" s="112">
        <f t="shared" si="8"/>
        <v>9130.6572524714102</v>
      </c>
      <c r="C24" s="114">
        <f t="shared" si="1"/>
        <v>0.19113063943557754</v>
      </c>
      <c r="D24" s="117">
        <f t="shared" si="2"/>
        <v>0.19113063943557754</v>
      </c>
      <c r="E24" s="115">
        <f t="shared" si="3"/>
        <v>-1745.1483591319541</v>
      </c>
      <c r="F24" s="110">
        <f t="shared" si="4"/>
        <v>0.18775069503867123</v>
      </c>
      <c r="G24" s="110">
        <f t="shared" si="5"/>
        <v>0.20775069503867122</v>
      </c>
      <c r="H24" s="115">
        <f t="shared" si="0"/>
        <v>1896.9003903608195</v>
      </c>
      <c r="I24" s="113">
        <f t="shared" si="6"/>
        <v>151.75203122886546</v>
      </c>
      <c r="J24" s="113">
        <f t="shared" si="7"/>
        <v>1472.8446316420832</v>
      </c>
      <c r="K24" s="115">
        <f t="shared" si="9"/>
        <v>151.75203122886546</v>
      </c>
      <c r="L24" s="113">
        <f t="shared" si="10"/>
        <v>1472.8446316420832</v>
      </c>
      <c r="M24" s="135"/>
      <c r="N24" s="126"/>
      <c r="O24" s="126"/>
      <c r="P24" s="126"/>
      <c r="Q24" s="126"/>
      <c r="R24" s="126"/>
    </row>
    <row r="25" spans="1:18" x14ac:dyDescent="0.25">
      <c r="A25" s="111">
        <v>12</v>
      </c>
      <c r="B25" s="112">
        <f t="shared" si="8"/>
        <v>9085.003966209053</v>
      </c>
      <c r="C25" s="114">
        <f t="shared" si="1"/>
        <v>0.19717621181582273</v>
      </c>
      <c r="D25" s="117">
        <f t="shared" si="2"/>
        <v>0.19717621181582273</v>
      </c>
      <c r="E25" s="115">
        <f t="shared" si="3"/>
        <v>-1791.346666388826</v>
      </c>
      <c r="F25" s="110">
        <f t="shared" si="4"/>
        <v>0.19432196936502472</v>
      </c>
      <c r="G25" s="110">
        <f t="shared" si="5"/>
        <v>0.21432196936502471</v>
      </c>
      <c r="H25" s="115">
        <f t="shared" si="0"/>
        <v>1947.1159417269846</v>
      </c>
      <c r="I25" s="113">
        <f t="shared" si="6"/>
        <v>155.76927533815865</v>
      </c>
      <c r="J25" s="113">
        <f t="shared" si="7"/>
        <v>1628.6139069802418</v>
      </c>
      <c r="K25" s="115">
        <f t="shared" si="9"/>
        <v>155.76927533815865</v>
      </c>
      <c r="L25" s="113">
        <f t="shared" si="10"/>
        <v>1628.6139069802418</v>
      </c>
      <c r="M25" s="135"/>
      <c r="N25" s="126"/>
      <c r="O25" s="126"/>
      <c r="P25" s="126"/>
      <c r="Q25" s="126"/>
      <c r="R25" s="126"/>
    </row>
    <row r="26" spans="1:18" x14ac:dyDescent="0.25">
      <c r="A26" s="111">
        <v>13</v>
      </c>
      <c r="B26" s="112">
        <f t="shared" si="8"/>
        <v>9039.5789463780075</v>
      </c>
      <c r="C26" s="114">
        <f t="shared" si="1"/>
        <v>0.20343337922937652</v>
      </c>
      <c r="D26" s="117">
        <f t="shared" si="2"/>
        <v>0.20343337922937652</v>
      </c>
      <c r="E26" s="115">
        <f t="shared" si="3"/>
        <v>-1838.9520918724049</v>
      </c>
      <c r="F26" s="110">
        <f t="shared" si="4"/>
        <v>0.20112323829280057</v>
      </c>
      <c r="G26" s="110">
        <f t="shared" si="5"/>
        <v>0.22112323829280056</v>
      </c>
      <c r="H26" s="115">
        <f t="shared" si="0"/>
        <v>1998.8609694265272</v>
      </c>
      <c r="I26" s="113">
        <f t="shared" si="6"/>
        <v>159.90887755412223</v>
      </c>
      <c r="J26" s="113">
        <f t="shared" si="7"/>
        <v>1788.5227845343641</v>
      </c>
      <c r="K26" s="115">
        <f t="shared" si="9"/>
        <v>159.90887755412223</v>
      </c>
      <c r="L26" s="113">
        <f t="shared" si="10"/>
        <v>1788.5227845343641</v>
      </c>
      <c r="M26" s="135"/>
      <c r="N26" s="126"/>
      <c r="O26" s="126"/>
      <c r="P26" s="126"/>
      <c r="Q26" s="126"/>
      <c r="R26" s="126"/>
    </row>
    <row r="27" spans="1:18" x14ac:dyDescent="0.25">
      <c r="A27" s="111">
        <v>14</v>
      </c>
      <c r="B27" s="112">
        <f t="shared" si="8"/>
        <v>8994.3810516461181</v>
      </c>
      <c r="C27" s="114">
        <f t="shared" si="1"/>
        <v>0.2099095475024047</v>
      </c>
      <c r="D27" s="117">
        <f t="shared" si="2"/>
        <v>0.2099095475024047</v>
      </c>
      <c r="E27" s="115">
        <f t="shared" si="3"/>
        <v>-1888.0064566152396</v>
      </c>
      <c r="F27" s="110">
        <f t="shared" si="4"/>
        <v>0.20816255163304859</v>
      </c>
      <c r="G27" s="110">
        <f t="shared" si="5"/>
        <v>0.22816255163304858</v>
      </c>
      <c r="H27" s="115">
        <f t="shared" si="0"/>
        <v>2052.1809311035213</v>
      </c>
      <c r="I27" s="113">
        <f t="shared" si="6"/>
        <v>164.1744744882817</v>
      </c>
      <c r="J27" s="113">
        <f t="shared" si="7"/>
        <v>1952.6972590226458</v>
      </c>
      <c r="K27" s="115">
        <f t="shared" si="9"/>
        <v>164.1744744882817</v>
      </c>
      <c r="L27" s="113">
        <f t="shared" si="10"/>
        <v>1952.6972590226458</v>
      </c>
      <c r="M27" s="135"/>
      <c r="N27" s="126"/>
      <c r="O27" s="126"/>
      <c r="P27" s="126"/>
      <c r="Q27" s="126"/>
      <c r="R27" s="126"/>
    </row>
    <row r="28" spans="1:18" x14ac:dyDescent="0.25">
      <c r="A28" s="100">
        <v>15</v>
      </c>
      <c r="B28" s="101">
        <f t="shared" si="8"/>
        <v>8949.4091463878867</v>
      </c>
      <c r="C28" s="102">
        <f t="shared" si="1"/>
        <v>0.21661238166498883</v>
      </c>
      <c r="D28" s="146">
        <f t="shared" si="2"/>
        <v>0.21661238166498883</v>
      </c>
      <c r="E28" s="99">
        <f t="shared" si="3"/>
        <v>-1938.5528296935149</v>
      </c>
      <c r="F28" s="103">
        <f t="shared" si="4"/>
        <v>0.21544824094020526</v>
      </c>
      <c r="G28" s="103">
        <f t="shared" si="5"/>
        <v>0.23544824094020525</v>
      </c>
      <c r="H28" s="99">
        <f t="shared" si="0"/>
        <v>2107.1226409712117</v>
      </c>
      <c r="I28" s="99">
        <f t="shared" si="6"/>
        <v>168.56981127769677</v>
      </c>
      <c r="J28" s="99">
        <f t="shared" si="7"/>
        <v>2121.2670703003423</v>
      </c>
      <c r="K28" s="99">
        <f t="shared" si="9"/>
        <v>168.56981127769677</v>
      </c>
      <c r="L28" s="99">
        <f t="shared" si="10"/>
        <v>2121.2670703003423</v>
      </c>
      <c r="M28" s="135"/>
      <c r="N28" s="126"/>
      <c r="O28" s="126"/>
      <c r="P28" s="126"/>
      <c r="Q28" s="126"/>
      <c r="R28" s="126"/>
    </row>
    <row r="29" spans="1:18" x14ac:dyDescent="0.25">
      <c r="A29" s="111">
        <v>16</v>
      </c>
      <c r="B29" s="112">
        <f t="shared" si="8"/>
        <v>8904.6621006559471</v>
      </c>
      <c r="C29" s="114">
        <f t="shared" si="1"/>
        <v>0.22354981502326343</v>
      </c>
      <c r="D29" s="117">
        <f t="shared" si="2"/>
        <v>0.22354981502326343</v>
      </c>
      <c r="E29" s="115">
        <f t="shared" si="3"/>
        <v>-1990.6355654463014</v>
      </c>
      <c r="F29" s="110">
        <f t="shared" si="4"/>
        <v>0.22298892937311243</v>
      </c>
      <c r="G29" s="110">
        <f t="shared" si="5"/>
        <v>0.24298892937311242</v>
      </c>
      <c r="H29" s="115">
        <f t="shared" si="0"/>
        <v>2163.7343102677187</v>
      </c>
      <c r="I29" s="113">
        <f t="shared" si="6"/>
        <v>173.09874482141731</v>
      </c>
      <c r="J29" s="113">
        <f t="shared" si="7"/>
        <v>2294.3658151217596</v>
      </c>
      <c r="K29" s="115">
        <f t="shared" si="9"/>
        <v>173.09874482141731</v>
      </c>
      <c r="L29" s="113">
        <f t="shared" si="10"/>
        <v>2294.3658151217596</v>
      </c>
      <c r="M29" s="135"/>
      <c r="N29" s="126"/>
      <c r="O29" s="126"/>
      <c r="P29" s="126"/>
      <c r="Q29" s="126"/>
      <c r="R29" s="126"/>
    </row>
    <row r="30" spans="1:18" x14ac:dyDescent="0.25">
      <c r="A30" s="111">
        <v>17</v>
      </c>
      <c r="B30" s="112">
        <f t="shared" si="8"/>
        <v>8860.1387901526668</v>
      </c>
      <c r="C30" s="114">
        <f t="shared" si="1"/>
        <v>0.23073005854907766</v>
      </c>
      <c r="D30" s="117">
        <f t="shared" si="2"/>
        <v>0.23073005854907766</v>
      </c>
      <c r="E30" s="115">
        <f t="shared" si="3"/>
        <v>-2044.3003418048788</v>
      </c>
      <c r="F30" s="110">
        <f t="shared" si="4"/>
        <v>0.23079354190117135</v>
      </c>
      <c r="G30" s="110">
        <f t="shared" si="5"/>
        <v>0.25079354190117137</v>
      </c>
      <c r="H30" s="115">
        <f t="shared" si="0"/>
        <v>2222.0655889183467</v>
      </c>
      <c r="I30" s="113">
        <f t="shared" si="6"/>
        <v>177.76524711346792</v>
      </c>
      <c r="J30" s="113">
        <f t="shared" si="7"/>
        <v>2472.1310622352275</v>
      </c>
      <c r="K30" s="115">
        <f t="shared" si="9"/>
        <v>177.76524711346792</v>
      </c>
      <c r="L30" s="113">
        <f t="shared" si="10"/>
        <v>2472.1310622352275</v>
      </c>
      <c r="M30" s="135"/>
      <c r="N30" s="126"/>
      <c r="O30" s="126"/>
      <c r="P30" s="126"/>
      <c r="Q30" s="126"/>
      <c r="R30" s="126"/>
    </row>
    <row r="31" spans="1:18" x14ac:dyDescent="0.25">
      <c r="A31" s="111">
        <v>18</v>
      </c>
      <c r="B31" s="112">
        <f t="shared" si="8"/>
        <v>8815.8380962019037</v>
      </c>
      <c r="C31" s="114">
        <f t="shared" si="1"/>
        <v>0.23816161059829535</v>
      </c>
      <c r="D31" s="117">
        <f t="shared" si="2"/>
        <v>0.23816161059829535</v>
      </c>
      <c r="E31" s="115">
        <f t="shared" si="3"/>
        <v>-2099.5941997652553</v>
      </c>
      <c r="F31" s="110">
        <f t="shared" si="4"/>
        <v>0.23887131586771232</v>
      </c>
      <c r="G31" s="110">
        <f t="shared" si="5"/>
        <v>0.25887131586771234</v>
      </c>
      <c r="H31" s="115">
        <f t="shared" si="0"/>
        <v>2282.1676084404949</v>
      </c>
      <c r="I31" s="113">
        <f t="shared" si="6"/>
        <v>182.57340867523953</v>
      </c>
      <c r="J31" s="113">
        <f t="shared" si="7"/>
        <v>2654.7044709104671</v>
      </c>
      <c r="K31" s="115">
        <f t="shared" si="9"/>
        <v>182.57340867523953</v>
      </c>
      <c r="L31" s="113">
        <f t="shared" si="10"/>
        <v>2654.7044709104671</v>
      </c>
      <c r="M31" s="135"/>
      <c r="N31" s="126"/>
      <c r="O31" s="126"/>
      <c r="P31" s="126"/>
      <c r="Q31" s="126"/>
      <c r="R31" s="126"/>
    </row>
    <row r="32" spans="1:18" x14ac:dyDescent="0.25">
      <c r="A32" s="111">
        <v>19</v>
      </c>
      <c r="B32" s="112">
        <f t="shared" si="8"/>
        <v>8771.7589057208934</v>
      </c>
      <c r="C32" s="114">
        <f t="shared" si="1"/>
        <v>0.24585326696923571</v>
      </c>
      <c r="D32" s="117">
        <f t="shared" si="2"/>
        <v>0.24585326696923571</v>
      </c>
      <c r="E32" s="115">
        <f t="shared" si="3"/>
        <v>-2156.5655840379695</v>
      </c>
      <c r="F32" s="110">
        <f t="shared" si="4"/>
        <v>0.24723181192308225</v>
      </c>
      <c r="G32" s="110">
        <f t="shared" si="5"/>
        <v>0.26723181192308226</v>
      </c>
      <c r="H32" s="115">
        <f t="shared" si="0"/>
        <v>2344.0930261282278</v>
      </c>
      <c r="I32" s="113">
        <f t="shared" si="6"/>
        <v>187.52744209025832</v>
      </c>
      <c r="J32" s="113">
        <f t="shared" si="7"/>
        <v>2842.2319130007254</v>
      </c>
      <c r="K32" s="115">
        <f t="shared" si="9"/>
        <v>187.52744209025832</v>
      </c>
      <c r="L32" s="113">
        <f t="shared" si="10"/>
        <v>2842.2319130007254</v>
      </c>
      <c r="M32" s="135"/>
      <c r="N32" s="126"/>
      <c r="O32" s="126"/>
      <c r="P32" s="126"/>
      <c r="Q32" s="126"/>
      <c r="R32" s="126"/>
    </row>
    <row r="33" spans="1:18" x14ac:dyDescent="0.25">
      <c r="A33" s="100">
        <v>20</v>
      </c>
      <c r="B33" s="101">
        <f t="shared" si="8"/>
        <v>8727.900111192288</v>
      </c>
      <c r="C33" s="102">
        <f t="shared" si="1"/>
        <v>0.25381413131315889</v>
      </c>
      <c r="D33" s="146">
        <f t="shared" si="2"/>
        <v>0.25381413131315889</v>
      </c>
      <c r="E33" s="99">
        <f t="shared" si="3"/>
        <v>-2215.2643849102933</v>
      </c>
      <c r="F33" s="103">
        <f t="shared" si="4"/>
        <v>0.25588492534039009</v>
      </c>
      <c r="G33" s="103">
        <f t="shared" si="5"/>
        <v>0.27588492534039011</v>
      </c>
      <c r="H33" s="99">
        <f t="shared" si="0"/>
        <v>2407.8960705546669</v>
      </c>
      <c r="I33" s="99">
        <f t="shared" si="6"/>
        <v>192.63168564437365</v>
      </c>
      <c r="J33" s="99">
        <f t="shared" si="7"/>
        <v>3034.863598645099</v>
      </c>
      <c r="K33" s="99">
        <f t="shared" si="9"/>
        <v>192.63168564437365</v>
      </c>
      <c r="L33" s="99">
        <f t="shared" si="10"/>
        <v>3034.863598645099</v>
      </c>
      <c r="M33" s="135"/>
      <c r="N33" s="126"/>
      <c r="O33" s="126"/>
      <c r="P33" s="126"/>
      <c r="Q33" s="126"/>
      <c r="R33" s="126"/>
    </row>
    <row r="34" spans="1:18" x14ac:dyDescent="0.25">
      <c r="A34" s="111">
        <v>21</v>
      </c>
      <c r="B34" s="112">
        <f t="shared" si="8"/>
        <v>8684.2606106363273</v>
      </c>
      <c r="C34" s="114">
        <f t="shared" si="1"/>
        <v>0.26205362590911946</v>
      </c>
      <c r="D34" s="117">
        <f t="shared" si="2"/>
        <v>0.26205362590911946</v>
      </c>
      <c r="E34" s="115">
        <f t="shared" si="3"/>
        <v>-2275.7419813569936</v>
      </c>
      <c r="F34" s="110">
        <f t="shared" si="4"/>
        <v>0.26484089772730374</v>
      </c>
      <c r="G34" s="110">
        <f t="shared" si="5"/>
        <v>0.28484089772730375</v>
      </c>
      <c r="H34" s="115">
        <f t="shared" si="0"/>
        <v>2473.6325884315147</v>
      </c>
      <c r="I34" s="113">
        <f t="shared" si="6"/>
        <v>197.89060707452109</v>
      </c>
      <c r="J34" s="113">
        <f t="shared" si="7"/>
        <v>3232.7542057196201</v>
      </c>
      <c r="K34" s="115">
        <f t="shared" si="9"/>
        <v>197.89060707452109</v>
      </c>
      <c r="L34" s="113">
        <f t="shared" si="10"/>
        <v>3232.7542057196201</v>
      </c>
      <c r="M34" s="135"/>
      <c r="N34" s="126"/>
      <c r="O34" s="126"/>
      <c r="P34" s="126"/>
      <c r="Q34" s="126"/>
      <c r="R34" s="126"/>
    </row>
    <row r="35" spans="1:18" x14ac:dyDescent="0.25">
      <c r="A35" s="111">
        <v>22</v>
      </c>
      <c r="B35" s="112">
        <f t="shared" si="8"/>
        <v>8640.8393075831464</v>
      </c>
      <c r="C35" s="114">
        <f t="shared" si="1"/>
        <v>0.27058150281593862</v>
      </c>
      <c r="D35" s="117">
        <f t="shared" si="2"/>
        <v>0.27058150281593862</v>
      </c>
      <c r="E35" s="115">
        <f t="shared" si="3"/>
        <v>-2338.0512854368822</v>
      </c>
      <c r="F35" s="110">
        <f t="shared" si="4"/>
        <v>0.27411032914775935</v>
      </c>
      <c r="G35" s="110">
        <f t="shared" si="5"/>
        <v>0.29411032914775936</v>
      </c>
      <c r="H35" s="115">
        <f t="shared" si="0"/>
        <v>2541.3600928661763</v>
      </c>
      <c r="I35" s="113">
        <f t="shared" si="6"/>
        <v>203.30880742929412</v>
      </c>
      <c r="J35" s="113">
        <f t="shared" si="7"/>
        <v>3436.0630131489143</v>
      </c>
      <c r="K35" s="115">
        <f t="shared" si="9"/>
        <v>203.30880742929412</v>
      </c>
      <c r="L35" s="113">
        <f t="shared" si="10"/>
        <v>3436.0630131489143</v>
      </c>
      <c r="M35" s="135"/>
      <c r="N35" s="126"/>
      <c r="O35" s="126"/>
      <c r="P35" s="126"/>
      <c r="Q35" s="126"/>
      <c r="R35" s="126"/>
    </row>
    <row r="36" spans="1:18" x14ac:dyDescent="0.25">
      <c r="A36" s="111">
        <v>23</v>
      </c>
      <c r="B36" s="112">
        <f t="shared" si="8"/>
        <v>8597.6351110452306</v>
      </c>
      <c r="C36" s="114">
        <f t="shared" si="1"/>
        <v>0.27940785541449648</v>
      </c>
      <c r="D36" s="117">
        <f t="shared" si="2"/>
        <v>0.27940785541449648</v>
      </c>
      <c r="E36" s="115">
        <f t="shared" si="3"/>
        <v>-2402.2467880135241</v>
      </c>
      <c r="F36" s="110">
        <f t="shared" si="4"/>
        <v>0.2837041906679309</v>
      </c>
      <c r="G36" s="110">
        <f t="shared" si="5"/>
        <v>0.30370419066793092</v>
      </c>
      <c r="H36" s="115">
        <f t="shared" si="0"/>
        <v>2611.1378130581779</v>
      </c>
      <c r="I36" s="113">
        <f t="shared" si="6"/>
        <v>208.89102504465382</v>
      </c>
      <c r="J36" s="113">
        <f t="shared" si="7"/>
        <v>3644.9540381935681</v>
      </c>
      <c r="K36" s="115">
        <f t="shared" si="9"/>
        <v>208.89102504465382</v>
      </c>
      <c r="L36" s="113">
        <f t="shared" si="10"/>
        <v>3644.9540381935681</v>
      </c>
      <c r="M36" s="135"/>
      <c r="N36" s="126"/>
      <c r="O36" s="126"/>
      <c r="P36" s="126"/>
      <c r="Q36" s="126"/>
      <c r="R36" s="126"/>
    </row>
    <row r="37" spans="1:18" x14ac:dyDescent="0.25">
      <c r="A37" s="111">
        <v>24</v>
      </c>
      <c r="B37" s="112">
        <f t="shared" si="8"/>
        <v>8554.6469354900037</v>
      </c>
      <c r="C37" s="114">
        <f t="shared" si="1"/>
        <v>0.28854313035400381</v>
      </c>
      <c r="D37" s="117">
        <f t="shared" si="2"/>
        <v>0.28854313035400381</v>
      </c>
      <c r="E37" s="115">
        <f t="shared" si="3"/>
        <v>-2468.3846058395711</v>
      </c>
      <c r="F37" s="110">
        <f t="shared" si="4"/>
        <v>0.29363383734130843</v>
      </c>
      <c r="G37" s="110">
        <f t="shared" si="5"/>
        <v>0.31363383734130845</v>
      </c>
      <c r="H37" s="115">
        <f t="shared" si="0"/>
        <v>2683.0267454777945</v>
      </c>
      <c r="I37" s="113">
        <f t="shared" si="6"/>
        <v>214.6421396382234</v>
      </c>
      <c r="J37" s="113">
        <f t="shared" si="7"/>
        <v>3859.5961778317915</v>
      </c>
      <c r="K37" s="115">
        <f t="shared" si="9"/>
        <v>214.6421396382234</v>
      </c>
      <c r="L37" s="113">
        <f t="shared" si="10"/>
        <v>3859.5961778317915</v>
      </c>
      <c r="M37" s="135"/>
      <c r="N37" s="126"/>
      <c r="O37" s="126"/>
      <c r="P37" s="126"/>
      <c r="Q37" s="126"/>
      <c r="R37" s="126"/>
    </row>
    <row r="38" spans="1:18" x14ac:dyDescent="0.25">
      <c r="A38" s="100">
        <v>25</v>
      </c>
      <c r="B38" s="101">
        <f t="shared" si="8"/>
        <v>8511.8737008125536</v>
      </c>
      <c r="C38" s="102">
        <f t="shared" si="1"/>
        <v>0.2979981399163939</v>
      </c>
      <c r="D38" s="146">
        <f t="shared" si="2"/>
        <v>0.2979981399163939</v>
      </c>
      <c r="E38" s="99">
        <f t="shared" si="3"/>
        <v>-2536.5225300454131</v>
      </c>
      <c r="F38" s="103">
        <f t="shared" si="4"/>
        <v>0.30391102164825423</v>
      </c>
      <c r="G38" s="103">
        <f t="shared" si="5"/>
        <v>0.32391102164825425</v>
      </c>
      <c r="H38" s="99">
        <f t="shared" si="0"/>
        <v>2757.089706571101</v>
      </c>
      <c r="I38" s="99">
        <f t="shared" si="6"/>
        <v>220.56717652568796</v>
      </c>
      <c r="J38" s="99">
        <f t="shared" si="7"/>
        <v>4080.1633543574794</v>
      </c>
      <c r="K38" s="99">
        <f t="shared" si="9"/>
        <v>220.56717652568796</v>
      </c>
      <c r="L38" s="99">
        <f t="shared" si="10"/>
        <v>4080.1633543574794</v>
      </c>
      <c r="M38" s="126"/>
      <c r="N38" s="126"/>
      <c r="O38" s="126"/>
      <c r="P38" s="126"/>
      <c r="Q38" s="126"/>
      <c r="R38" s="126"/>
    </row>
    <row r="39" spans="1:18" x14ac:dyDescent="0.25">
      <c r="A39" s="126"/>
      <c r="B39" s="126"/>
      <c r="C39" s="126"/>
      <c r="D39" s="126"/>
      <c r="E39" s="126"/>
      <c r="F39" s="126"/>
      <c r="G39" s="126"/>
      <c r="H39" s="127"/>
      <c r="I39" s="126"/>
      <c r="J39" s="126"/>
      <c r="K39" s="126"/>
      <c r="L39" s="126"/>
      <c r="M39" s="126"/>
      <c r="N39" s="126"/>
      <c r="O39" s="126"/>
      <c r="P39" s="126"/>
      <c r="Q39" s="126"/>
      <c r="R39" s="126"/>
    </row>
    <row r="40" spans="1:18" x14ac:dyDescent="0.25">
      <c r="A40" s="126"/>
      <c r="B40" s="126"/>
      <c r="C40" s="126"/>
      <c r="D40" s="126"/>
      <c r="E40" s="126"/>
      <c r="F40" s="126"/>
      <c r="G40" s="126"/>
      <c r="H40" s="126"/>
      <c r="I40" s="126"/>
      <c r="J40" s="126"/>
      <c r="K40" s="126"/>
      <c r="L40" s="126"/>
      <c r="M40" s="126"/>
      <c r="N40" s="126"/>
      <c r="O40" s="126"/>
      <c r="P40" s="126"/>
      <c r="Q40" s="126"/>
      <c r="R40" s="126"/>
    </row>
    <row r="41" spans="1:18" x14ac:dyDescent="0.25">
      <c r="A41" s="126"/>
      <c r="B41" s="126"/>
      <c r="C41" s="126"/>
      <c r="D41" s="126"/>
      <c r="E41" s="126"/>
      <c r="F41" s="126"/>
      <c r="G41" s="126"/>
      <c r="H41" s="126"/>
      <c r="I41" s="126"/>
      <c r="J41" s="126"/>
      <c r="K41" s="126"/>
      <c r="L41" s="126"/>
      <c r="M41" s="126"/>
      <c r="N41" s="126"/>
      <c r="O41" s="126"/>
      <c r="P41" s="126"/>
      <c r="Q41" s="126"/>
      <c r="R41" s="126"/>
    </row>
    <row r="42" spans="1:18" x14ac:dyDescent="0.25">
      <c r="A42" s="126"/>
      <c r="B42" s="126"/>
      <c r="C42" s="126"/>
      <c r="D42" s="126"/>
      <c r="E42" s="126"/>
      <c r="F42" s="126"/>
      <c r="G42" s="126"/>
      <c r="H42" s="126"/>
      <c r="I42" s="126"/>
      <c r="J42" s="126"/>
      <c r="K42" s="126"/>
      <c r="L42" s="126"/>
      <c r="M42" s="126"/>
      <c r="N42" s="126"/>
      <c r="O42" s="126"/>
      <c r="P42" s="126"/>
      <c r="Q42" s="126"/>
      <c r="R42" s="126"/>
    </row>
  </sheetData>
  <mergeCells count="20">
    <mergeCell ref="A2:D2"/>
    <mergeCell ref="E2:J2"/>
    <mergeCell ref="A3:C3"/>
    <mergeCell ref="E3:J3"/>
    <mergeCell ref="A4:C4"/>
    <mergeCell ref="E4:J4"/>
    <mergeCell ref="A5:C5"/>
    <mergeCell ref="E5:J5"/>
    <mergeCell ref="A6:C6"/>
    <mergeCell ref="E6:J6"/>
    <mergeCell ref="A7:C7"/>
    <mergeCell ref="E7:J7"/>
    <mergeCell ref="A11:C11"/>
    <mergeCell ref="E11:J11"/>
    <mergeCell ref="A8:C8"/>
    <mergeCell ref="E8:J8"/>
    <mergeCell ref="A9:C9"/>
    <mergeCell ref="E9:J9"/>
    <mergeCell ref="A10:C10"/>
    <mergeCell ref="E10:J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F43"/>
  <sheetViews>
    <sheetView topLeftCell="A13" zoomScale="110" zoomScaleNormal="110" workbookViewId="0">
      <selection activeCell="A2" sqref="A2:D2"/>
    </sheetView>
  </sheetViews>
  <sheetFormatPr defaultRowHeight="15" x14ac:dyDescent="0.25"/>
  <cols>
    <col min="1" max="1" width="6.42578125" customWidth="1"/>
    <col min="2" max="2" width="12.5703125" customWidth="1"/>
    <col min="3" max="3" width="11.28515625" customWidth="1"/>
    <col min="4" max="4" width="15.42578125" customWidth="1"/>
    <col min="5" max="5" width="15.7109375" customWidth="1"/>
    <col min="6" max="6" width="3" customWidth="1"/>
    <col min="7" max="7" width="11.42578125" customWidth="1"/>
    <col min="9" max="9" width="10" customWidth="1"/>
    <col min="10" max="10" width="10.7109375" customWidth="1"/>
    <col min="11" max="11" width="10.28515625" customWidth="1"/>
    <col min="12" max="13" width="11.28515625" customWidth="1"/>
    <col min="14" max="14" width="10.28515625" customWidth="1"/>
    <col min="15" max="15" width="11.28515625" customWidth="1"/>
    <col min="16" max="16" width="11.85546875" customWidth="1"/>
    <col min="17" max="17" width="10" customWidth="1"/>
    <col min="18" max="18" width="9.85546875" customWidth="1"/>
    <col min="19" max="19" width="11.42578125" bestFit="1" customWidth="1"/>
    <col min="20" max="20" width="12.5703125" customWidth="1"/>
    <col min="21" max="21" width="10.85546875" customWidth="1"/>
    <col min="24" max="24" width="9.7109375" customWidth="1"/>
    <col min="25" max="25" width="11" customWidth="1"/>
    <col min="27" max="27" width="11.5703125" customWidth="1"/>
    <col min="28" max="28" width="11.7109375" customWidth="1"/>
    <col min="29" max="29" width="11.140625" customWidth="1"/>
    <col min="31" max="31" width="11.42578125" customWidth="1"/>
    <col min="32" max="32" width="13.5703125" customWidth="1"/>
  </cols>
  <sheetData>
    <row r="1" spans="1:32" ht="16.5" thickBot="1" x14ac:dyDescent="0.3">
      <c r="A1" s="42"/>
      <c r="B1" s="43"/>
      <c r="C1" s="43"/>
      <c r="D1" s="42"/>
      <c r="E1" s="42"/>
      <c r="F1" s="106"/>
      <c r="G1" s="106"/>
      <c r="H1" s="106"/>
      <c r="I1" s="106"/>
      <c r="J1" s="106"/>
      <c r="K1" s="106"/>
      <c r="L1" s="106"/>
      <c r="M1" s="106"/>
      <c r="N1" s="106"/>
      <c r="O1" s="106"/>
      <c r="P1" s="106"/>
      <c r="Q1" s="106"/>
      <c r="R1" s="16"/>
      <c r="S1" s="106"/>
      <c r="T1" s="106"/>
      <c r="U1" s="106"/>
      <c r="V1" s="106"/>
      <c r="W1" s="106"/>
      <c r="X1" s="106"/>
      <c r="Y1" s="106"/>
      <c r="Z1" s="106"/>
      <c r="AA1" s="106"/>
      <c r="AB1" s="106"/>
      <c r="AC1" s="106"/>
      <c r="AD1" s="106"/>
      <c r="AE1" s="106"/>
      <c r="AF1" s="106"/>
    </row>
    <row r="2" spans="1:32" ht="16.5" thickBot="1" x14ac:dyDescent="0.3">
      <c r="A2" s="42"/>
      <c r="B2" s="44" t="s">
        <v>35</v>
      </c>
      <c r="C2" s="44"/>
      <c r="D2" s="44"/>
      <c r="E2" s="60">
        <f>'Xcel CSG Calculator'!$H$7</f>
        <v>9600</v>
      </c>
      <c r="F2" s="1"/>
      <c r="G2" s="106"/>
      <c r="H2" s="16"/>
      <c r="I2" s="19"/>
      <c r="J2" s="16"/>
      <c r="K2" s="16"/>
      <c r="L2" s="36"/>
      <c r="M2" s="37"/>
      <c r="N2" s="38"/>
      <c r="O2" s="36"/>
      <c r="P2" s="36"/>
      <c r="Q2" s="36"/>
      <c r="R2" s="37"/>
      <c r="S2" s="38"/>
      <c r="T2" s="36"/>
      <c r="U2" s="36"/>
      <c r="V2" s="36"/>
      <c r="W2" s="37"/>
      <c r="X2" s="36"/>
      <c r="Y2" s="37"/>
      <c r="Z2" s="37"/>
      <c r="AA2" s="36"/>
      <c r="AB2" s="16"/>
      <c r="AC2" s="20"/>
      <c r="AD2" s="19"/>
      <c r="AE2" s="21"/>
      <c r="AF2" s="16"/>
    </row>
    <row r="3" spans="1:32" ht="16.5" thickBot="1" x14ac:dyDescent="0.3">
      <c r="A3" s="42"/>
      <c r="B3" s="44" t="s">
        <v>36</v>
      </c>
      <c r="C3" s="44"/>
      <c r="D3" s="44"/>
      <c r="E3" s="60">
        <f>'Xcel CSG Calculator'!$H$8</f>
        <v>0.1331</v>
      </c>
      <c r="F3" s="5"/>
      <c r="G3" s="106"/>
      <c r="H3" s="16"/>
      <c r="I3" s="19"/>
      <c r="J3" s="16"/>
      <c r="K3" s="16"/>
      <c r="L3" s="36"/>
      <c r="M3" s="37"/>
      <c r="N3" s="38"/>
      <c r="O3" s="37"/>
      <c r="P3" s="37"/>
      <c r="Q3" s="37"/>
      <c r="R3" s="37"/>
      <c r="S3" s="38"/>
      <c r="T3" s="36"/>
      <c r="U3" s="37"/>
      <c r="V3" s="36"/>
      <c r="W3" s="37"/>
      <c r="X3" s="36"/>
      <c r="Y3" s="37"/>
      <c r="Z3" s="37"/>
      <c r="AA3" s="36"/>
      <c r="AB3" s="16"/>
      <c r="AC3" s="20"/>
      <c r="AD3" s="16"/>
      <c r="AE3" s="16"/>
      <c r="AF3" s="16"/>
    </row>
    <row r="4" spans="1:32" ht="16.5" thickBot="1" x14ac:dyDescent="0.3">
      <c r="A4" s="42"/>
      <c r="B4" s="107" t="s">
        <v>37</v>
      </c>
      <c r="C4" s="44"/>
      <c r="D4" s="44"/>
      <c r="E4" s="60">
        <f>'Xcel CSG Calculator'!$H$9</f>
        <v>0.02</v>
      </c>
      <c r="F4" s="5"/>
      <c r="G4" s="106"/>
      <c r="H4" s="16"/>
      <c r="I4" s="19"/>
      <c r="J4" s="16"/>
      <c r="K4" s="16"/>
      <c r="L4" s="36"/>
      <c r="M4" s="37"/>
      <c r="N4" s="38"/>
      <c r="O4" s="37"/>
      <c r="P4" s="37"/>
      <c r="Q4" s="37"/>
      <c r="R4" s="37"/>
      <c r="S4" s="38"/>
      <c r="T4" s="36"/>
      <c r="U4" s="37"/>
      <c r="V4" s="36"/>
      <c r="W4" s="37"/>
      <c r="X4" s="36"/>
      <c r="Y4" s="37"/>
      <c r="Z4" s="37"/>
      <c r="AA4" s="36"/>
      <c r="AB4" s="16"/>
      <c r="AC4" s="20"/>
      <c r="AD4" s="16"/>
      <c r="AE4" s="16"/>
      <c r="AF4" s="16"/>
    </row>
    <row r="5" spans="1:32" ht="16.5" thickBot="1" x14ac:dyDescent="0.3">
      <c r="A5" s="42"/>
      <c r="B5" s="44" t="s">
        <v>38</v>
      </c>
      <c r="C5" s="44"/>
      <c r="D5" s="44"/>
      <c r="E5" s="88" t="e">
        <f>'Xcel CSG Calculator'!#REF!</f>
        <v>#REF!</v>
      </c>
      <c r="F5" s="6"/>
      <c r="G5" s="106"/>
      <c r="H5" s="16"/>
      <c r="I5" s="19"/>
      <c r="J5" s="16"/>
      <c r="K5" s="16"/>
      <c r="L5" s="37"/>
      <c r="M5" s="37"/>
      <c r="N5" s="36"/>
      <c r="O5" s="36"/>
      <c r="P5" s="36"/>
      <c r="Q5" s="36"/>
      <c r="R5" s="38"/>
      <c r="S5" s="36"/>
      <c r="T5" s="37"/>
      <c r="U5" s="37"/>
      <c r="V5" s="37"/>
      <c r="W5" s="37"/>
      <c r="X5" s="36"/>
      <c r="Y5" s="37"/>
      <c r="Z5" s="37"/>
      <c r="AA5" s="37"/>
      <c r="AB5" s="16"/>
      <c r="AC5" s="19"/>
      <c r="AD5" s="19"/>
      <c r="AE5" s="23"/>
      <c r="AF5" s="16"/>
    </row>
    <row r="6" spans="1:32" ht="16.5" thickBot="1" x14ac:dyDescent="0.3">
      <c r="A6" s="42"/>
      <c r="B6" s="43" t="s">
        <v>39</v>
      </c>
      <c r="C6" s="43"/>
      <c r="D6" s="45"/>
      <c r="E6" s="59">
        <f>'Xcel CSG Calculator'!$H$10</f>
        <v>3.5000000000000003E-2</v>
      </c>
      <c r="F6" s="6"/>
      <c r="G6" s="106"/>
      <c r="H6" s="16"/>
      <c r="I6" s="19"/>
      <c r="J6" s="16"/>
      <c r="K6" s="16"/>
      <c r="L6" s="37"/>
      <c r="M6" s="37"/>
      <c r="N6" s="36"/>
      <c r="O6" s="36"/>
      <c r="P6" s="36"/>
      <c r="Q6" s="36"/>
      <c r="R6" s="38"/>
      <c r="S6" s="36"/>
      <c r="T6" s="37"/>
      <c r="U6" s="37"/>
      <c r="V6" s="37"/>
      <c r="W6" s="37"/>
      <c r="X6" s="36"/>
      <c r="Y6" s="37"/>
      <c r="Z6" s="37"/>
      <c r="AA6" s="37"/>
      <c r="AB6" s="16"/>
      <c r="AC6" s="19"/>
      <c r="AD6" s="19"/>
      <c r="AE6" s="23"/>
      <c r="AF6" s="16"/>
    </row>
    <row r="7" spans="1:32" ht="15.75" customHeight="1" x14ac:dyDescent="0.25">
      <c r="A7" s="42"/>
      <c r="B7" s="218" t="s">
        <v>40</v>
      </c>
      <c r="C7" s="219"/>
      <c r="D7" s="220"/>
      <c r="E7" s="46"/>
      <c r="F7" s="6"/>
      <c r="G7" s="6"/>
      <c r="H7" s="16"/>
      <c r="I7" s="19"/>
      <c r="J7" s="16"/>
      <c r="K7" s="16"/>
      <c r="L7" s="37"/>
      <c r="M7" s="37"/>
      <c r="N7" s="36"/>
      <c r="O7" s="36"/>
      <c r="P7" s="36"/>
      <c r="Q7" s="36"/>
      <c r="R7" s="38"/>
      <c r="S7" s="36"/>
      <c r="T7" s="37"/>
      <c r="U7" s="37"/>
      <c r="V7" s="37"/>
      <c r="W7" s="37"/>
      <c r="X7" s="36"/>
      <c r="Y7" s="37"/>
      <c r="Z7" s="37"/>
      <c r="AA7" s="37"/>
      <c r="AB7" s="16"/>
      <c r="AC7" s="19"/>
      <c r="AD7" s="19"/>
      <c r="AE7" s="22"/>
      <c r="AF7" s="16"/>
    </row>
    <row r="8" spans="1:32" ht="16.5" thickBot="1" x14ac:dyDescent="0.3">
      <c r="A8" s="42"/>
      <c r="B8" s="221"/>
      <c r="C8" s="222"/>
      <c r="D8" s="223"/>
      <c r="E8" s="46"/>
      <c r="F8" s="16"/>
      <c r="G8" s="6"/>
      <c r="H8" s="16"/>
      <c r="I8" s="19"/>
      <c r="J8" s="16"/>
      <c r="K8" s="16"/>
      <c r="L8" s="37"/>
      <c r="M8" s="37"/>
      <c r="N8" s="36"/>
      <c r="O8" s="36"/>
      <c r="P8" s="36"/>
      <c r="Q8" s="36"/>
      <c r="R8" s="38"/>
      <c r="S8" s="224"/>
      <c r="T8" s="224"/>
      <c r="U8" s="224"/>
      <c r="V8" s="224"/>
      <c r="W8" s="224"/>
      <c r="X8" s="36"/>
      <c r="Y8" s="37"/>
      <c r="Z8" s="37"/>
      <c r="AA8" s="37"/>
      <c r="AB8" s="16"/>
      <c r="AC8" s="19"/>
      <c r="AD8" s="19"/>
      <c r="AE8" s="16"/>
      <c r="AF8" s="16"/>
    </row>
    <row r="9" spans="1:32" ht="15.75" x14ac:dyDescent="0.25">
      <c r="A9" s="42"/>
      <c r="B9" s="106"/>
      <c r="C9" s="106"/>
      <c r="D9" s="106"/>
      <c r="E9" s="106"/>
      <c r="F9" s="16"/>
      <c r="G9" s="16"/>
      <c r="H9" s="16"/>
      <c r="I9" s="19"/>
      <c r="J9" s="16"/>
      <c r="K9" s="16"/>
      <c r="L9" s="37"/>
      <c r="M9" s="37"/>
      <c r="N9" s="36"/>
      <c r="O9" s="36"/>
      <c r="P9" s="36"/>
      <c r="Q9" s="39"/>
      <c r="R9" s="38"/>
      <c r="S9" s="224"/>
      <c r="T9" s="224"/>
      <c r="U9" s="224"/>
      <c r="V9" s="224"/>
      <c r="W9" s="224"/>
      <c r="X9" s="36"/>
      <c r="Y9" s="37"/>
      <c r="Z9" s="37"/>
      <c r="AA9" s="37"/>
      <c r="AB9" s="16"/>
      <c r="AC9" s="19"/>
      <c r="AD9" s="19"/>
      <c r="AE9" s="24"/>
      <c r="AF9" s="24"/>
    </row>
    <row r="10" spans="1:32" s="2" customFormat="1" ht="63" x14ac:dyDescent="0.25">
      <c r="A10" s="47"/>
      <c r="B10" s="47"/>
      <c r="C10" s="47"/>
      <c r="D10" s="48" t="s">
        <v>41</v>
      </c>
      <c r="E10" s="49" t="s">
        <v>42</v>
      </c>
      <c r="F10" s="13"/>
      <c r="G10" s="12"/>
      <c r="H10" s="12"/>
      <c r="I10" s="26"/>
      <c r="J10" s="12"/>
      <c r="K10" s="12"/>
      <c r="L10" s="26"/>
      <c r="M10" s="12"/>
      <c r="N10" s="26"/>
      <c r="O10" s="12"/>
      <c r="P10" s="12"/>
      <c r="Q10" s="12"/>
      <c r="R10" s="26"/>
      <c r="S10" s="12"/>
      <c r="T10" s="12"/>
      <c r="U10" s="12"/>
      <c r="V10" s="12"/>
      <c r="W10" s="12"/>
      <c r="X10" s="12"/>
      <c r="Y10" s="12"/>
      <c r="AD10" s="10"/>
    </row>
    <row r="11" spans="1:32" s="7" customFormat="1" ht="18.75" customHeight="1" x14ac:dyDescent="0.25">
      <c r="A11" s="50"/>
      <c r="B11" s="51" t="e">
        <f>'Xcel CSG Calculator'!#REF!</f>
        <v>#REF!</v>
      </c>
      <c r="C11" s="52">
        <f>'Xcel CSG Calculator'!$H$10</f>
        <v>3.5000000000000003E-2</v>
      </c>
      <c r="D11" s="50"/>
      <c r="E11" s="50"/>
      <c r="F11" s="12"/>
      <c r="G11" s="12"/>
      <c r="H11" s="12"/>
      <c r="I11" s="12"/>
      <c r="J11" s="12"/>
      <c r="K11" s="12"/>
      <c r="L11" s="12"/>
      <c r="M11" s="27"/>
      <c r="N11" s="27"/>
      <c r="O11" s="27"/>
      <c r="P11" s="28"/>
      <c r="Q11" s="12"/>
      <c r="R11" s="29"/>
      <c r="S11" s="12"/>
      <c r="T11" s="12"/>
      <c r="U11" s="12"/>
      <c r="V11" s="12"/>
      <c r="W11" s="12"/>
      <c r="X11" s="12"/>
      <c r="Y11" s="12"/>
      <c r="AA11" s="8"/>
      <c r="AB11" s="8"/>
      <c r="AC11" s="9"/>
    </row>
    <row r="12" spans="1:32" s="7" customFormat="1" ht="73.5" customHeight="1" thickBot="1" x14ac:dyDescent="0.55000000000000004">
      <c r="A12" s="50"/>
      <c r="B12" s="53" t="s">
        <v>116</v>
      </c>
      <c r="C12" s="53" t="s">
        <v>115</v>
      </c>
      <c r="D12" s="50"/>
      <c r="E12" s="54"/>
      <c r="F12" s="17"/>
      <c r="G12" s="40"/>
      <c r="H12" s="40"/>
      <c r="I12" s="40"/>
      <c r="J12" s="40"/>
      <c r="K12" s="40"/>
      <c r="L12" s="40"/>
      <c r="M12" s="27"/>
      <c r="N12" s="27"/>
      <c r="O12" s="27"/>
      <c r="P12" s="28"/>
      <c r="Q12" s="12"/>
      <c r="R12" s="26"/>
      <c r="S12" s="12"/>
      <c r="T12" s="12"/>
      <c r="U12" s="12"/>
      <c r="V12" s="12"/>
      <c r="W12" s="12"/>
      <c r="X12" s="12"/>
      <c r="Y12" s="12"/>
      <c r="AA12" s="18"/>
      <c r="AB12" s="18"/>
      <c r="AC12" s="18"/>
    </row>
    <row r="13" spans="1:32" ht="15.75" x14ac:dyDescent="0.25">
      <c r="A13" s="55">
        <v>1</v>
      </c>
      <c r="B13" s="89">
        <f>E3 + E4</f>
        <v>0.15309999999999999</v>
      </c>
      <c r="C13" s="90">
        <f>E3 + E4</f>
        <v>0.15309999999999999</v>
      </c>
      <c r="D13" s="56">
        <f t="shared" ref="D13:D37" si="0">(($E$2)/12)*B13</f>
        <v>122.47999999999999</v>
      </c>
      <c r="E13" s="56">
        <f>D13*12</f>
        <v>1469.7599999999998</v>
      </c>
      <c r="F13" s="14"/>
      <c r="G13" s="16"/>
      <c r="H13" s="16"/>
      <c r="I13" s="30"/>
      <c r="J13" s="25"/>
      <c r="K13" s="25"/>
      <c r="L13" s="16"/>
      <c r="M13" s="16"/>
      <c r="N13" s="25"/>
      <c r="O13" s="25"/>
      <c r="P13" s="31"/>
      <c r="Q13" s="25"/>
      <c r="R13" s="32"/>
      <c r="S13" s="33"/>
      <c r="T13" s="34"/>
      <c r="U13" s="34"/>
      <c r="V13" s="16"/>
      <c r="W13" s="16"/>
      <c r="X13" s="35"/>
      <c r="Y13" s="25"/>
      <c r="Z13" s="3"/>
      <c r="AA13" s="3"/>
      <c r="AB13" s="3"/>
      <c r="AC13" s="3"/>
      <c r="AD13" s="4"/>
      <c r="AE13" s="106"/>
      <c r="AF13" s="4"/>
    </row>
    <row r="14" spans="1:32" ht="15.75" x14ac:dyDescent="0.25">
      <c r="A14" s="55">
        <v>2</v>
      </c>
      <c r="B14" s="61" t="e">
        <f t="shared" ref="B14:B37" si="1">((1+$B$11)^A13)*$E$3 + $E$4</f>
        <v>#REF!</v>
      </c>
      <c r="C14" s="61">
        <f t="shared" ref="C14:C37" si="2">((1+$C$11)^A13)*$E$3 +$E$4</f>
        <v>0.15775849999999997</v>
      </c>
      <c r="D14" s="56" t="e">
        <f t="shared" si="0"/>
        <v>#REF!</v>
      </c>
      <c r="E14" s="56" t="e">
        <f t="shared" ref="E14:E37" si="3">D14*12</f>
        <v>#REF!</v>
      </c>
      <c r="F14" s="14"/>
      <c r="G14" s="16"/>
      <c r="H14" s="16"/>
      <c r="I14" s="30"/>
      <c r="J14" s="25"/>
      <c r="K14" s="25"/>
      <c r="L14" s="16"/>
      <c r="M14" s="16"/>
      <c r="N14" s="25"/>
      <c r="O14" s="25"/>
      <c r="P14" s="31"/>
      <c r="Q14" s="25"/>
      <c r="R14" s="32"/>
      <c r="S14" s="33"/>
      <c r="T14" s="34"/>
      <c r="U14" s="34"/>
      <c r="V14" s="16"/>
      <c r="W14" s="16"/>
      <c r="X14" s="35"/>
      <c r="Y14" s="25"/>
      <c r="Z14" s="3"/>
      <c r="AA14" s="3"/>
      <c r="AB14" s="3"/>
      <c r="AC14" s="3"/>
      <c r="AD14" s="4"/>
      <c r="AE14" s="4"/>
      <c r="AF14" s="106"/>
    </row>
    <row r="15" spans="1:32" ht="15.75" x14ac:dyDescent="0.25">
      <c r="A15" s="55">
        <v>3</v>
      </c>
      <c r="B15" s="61" t="e">
        <f t="shared" si="1"/>
        <v>#REF!</v>
      </c>
      <c r="C15" s="61">
        <f t="shared" si="2"/>
        <v>0.16258004749999996</v>
      </c>
      <c r="D15" s="56" t="e">
        <f t="shared" si="0"/>
        <v>#REF!</v>
      </c>
      <c r="E15" s="56" t="e">
        <f t="shared" si="3"/>
        <v>#REF!</v>
      </c>
      <c r="F15" s="14"/>
      <c r="G15" s="16"/>
      <c r="H15" s="16"/>
      <c r="I15" s="30"/>
      <c r="J15" s="25"/>
      <c r="K15" s="25"/>
      <c r="L15" s="16"/>
      <c r="M15" s="16"/>
      <c r="N15" s="25"/>
      <c r="O15" s="25"/>
      <c r="P15" s="31"/>
      <c r="Q15" s="25"/>
      <c r="R15" s="32"/>
      <c r="S15" s="33"/>
      <c r="T15" s="34"/>
      <c r="U15" s="34"/>
      <c r="V15" s="16"/>
      <c r="W15" s="16"/>
      <c r="X15" s="35"/>
      <c r="Y15" s="25"/>
      <c r="Z15" s="3"/>
      <c r="AA15" s="3"/>
      <c r="AB15" s="3"/>
      <c r="AC15" s="3"/>
      <c r="AD15" s="4"/>
      <c r="AE15" s="4"/>
    </row>
    <row r="16" spans="1:32" ht="15.75" x14ac:dyDescent="0.25">
      <c r="A16" s="55">
        <v>4</v>
      </c>
      <c r="B16" s="61" t="e">
        <f t="shared" si="1"/>
        <v>#REF!</v>
      </c>
      <c r="C16" s="61">
        <f t="shared" si="2"/>
        <v>0.16757034916249994</v>
      </c>
      <c r="D16" s="56" t="e">
        <f t="shared" si="0"/>
        <v>#REF!</v>
      </c>
      <c r="E16" s="56" t="e">
        <f t="shared" si="3"/>
        <v>#REF!</v>
      </c>
      <c r="F16" s="14"/>
      <c r="G16" s="16"/>
      <c r="H16" s="16"/>
      <c r="I16" s="30"/>
      <c r="J16" s="25"/>
      <c r="K16" s="25"/>
      <c r="L16" s="16"/>
      <c r="M16" s="16"/>
      <c r="N16" s="25"/>
      <c r="O16" s="25"/>
      <c r="P16" s="31"/>
      <c r="Q16" s="25"/>
      <c r="R16" s="32"/>
      <c r="S16" s="33"/>
      <c r="T16" s="34"/>
      <c r="U16" s="34"/>
      <c r="V16" s="16"/>
      <c r="W16" s="16"/>
      <c r="X16" s="35"/>
      <c r="Y16" s="25"/>
      <c r="Z16" s="3"/>
      <c r="AA16" s="3"/>
      <c r="AB16" s="3"/>
      <c r="AC16" s="3"/>
      <c r="AD16" s="4"/>
      <c r="AE16" s="4"/>
    </row>
    <row r="17" spans="1:32" ht="15.75" x14ac:dyDescent="0.25">
      <c r="A17" s="55">
        <v>5</v>
      </c>
      <c r="B17" s="61" t="e">
        <f t="shared" si="1"/>
        <v>#REF!</v>
      </c>
      <c r="C17" s="61">
        <f t="shared" si="2"/>
        <v>0.17273531138318746</v>
      </c>
      <c r="D17" s="56" t="e">
        <f t="shared" si="0"/>
        <v>#REF!</v>
      </c>
      <c r="E17" s="56" t="e">
        <f t="shared" si="3"/>
        <v>#REF!</v>
      </c>
      <c r="F17" s="14"/>
      <c r="G17" s="16"/>
      <c r="H17" s="16"/>
      <c r="I17" s="30"/>
      <c r="J17" s="25"/>
      <c r="K17" s="25"/>
      <c r="L17" s="16"/>
      <c r="M17" s="16"/>
      <c r="N17" s="25"/>
      <c r="O17" s="25"/>
      <c r="P17" s="31"/>
      <c r="Q17" s="25"/>
      <c r="R17" s="32"/>
      <c r="S17" s="33"/>
      <c r="T17" s="34"/>
      <c r="U17" s="34"/>
      <c r="V17" s="16"/>
      <c r="W17" s="16"/>
      <c r="X17" s="35"/>
      <c r="Y17" s="25"/>
      <c r="Z17" s="3"/>
      <c r="AA17" s="3"/>
      <c r="AB17" s="3"/>
      <c r="AC17" s="3"/>
      <c r="AD17" s="4"/>
      <c r="AE17" s="4"/>
    </row>
    <row r="18" spans="1:32" ht="15.75" x14ac:dyDescent="0.25">
      <c r="A18" s="55">
        <v>6</v>
      </c>
      <c r="B18" s="61" t="e">
        <f t="shared" si="1"/>
        <v>#REF!</v>
      </c>
      <c r="C18" s="61">
        <f t="shared" si="2"/>
        <v>0.17808104728159899</v>
      </c>
      <c r="D18" s="56" t="e">
        <f t="shared" si="0"/>
        <v>#REF!</v>
      </c>
      <c r="E18" s="56" t="e">
        <f t="shared" si="3"/>
        <v>#REF!</v>
      </c>
      <c r="F18" s="14"/>
      <c r="G18" s="16"/>
      <c r="H18" s="16"/>
      <c r="I18" s="30"/>
      <c r="J18" s="25"/>
      <c r="K18" s="25"/>
      <c r="L18" s="16"/>
      <c r="M18" s="16"/>
      <c r="N18" s="25"/>
      <c r="O18" s="25"/>
      <c r="P18" s="31"/>
      <c r="Q18" s="25"/>
      <c r="R18" s="32"/>
      <c r="S18" s="33"/>
      <c r="T18" s="34"/>
      <c r="U18" s="34"/>
      <c r="V18" s="16"/>
      <c r="W18" s="16"/>
      <c r="X18" s="35"/>
      <c r="Y18" s="25"/>
      <c r="Z18" s="3"/>
      <c r="AA18" s="3"/>
      <c r="AB18" s="3"/>
      <c r="AC18" s="3"/>
      <c r="AD18" s="4"/>
      <c r="AE18" s="4"/>
    </row>
    <row r="19" spans="1:32" ht="15.75" x14ac:dyDescent="0.25">
      <c r="A19" s="55">
        <v>7</v>
      </c>
      <c r="B19" s="61" t="e">
        <f t="shared" si="1"/>
        <v>#REF!</v>
      </c>
      <c r="C19" s="61">
        <f t="shared" si="2"/>
        <v>0.18361388393645495</v>
      </c>
      <c r="D19" s="56" t="e">
        <f t="shared" si="0"/>
        <v>#REF!</v>
      </c>
      <c r="E19" s="56" t="e">
        <f t="shared" si="3"/>
        <v>#REF!</v>
      </c>
      <c r="F19" s="14"/>
      <c r="G19" s="16"/>
      <c r="H19" s="16"/>
      <c r="I19" s="30"/>
      <c r="J19" s="25"/>
      <c r="K19" s="25"/>
      <c r="L19" s="16"/>
      <c r="M19" s="16"/>
      <c r="N19" s="25"/>
      <c r="O19" s="25"/>
      <c r="P19" s="31"/>
      <c r="Q19" s="25"/>
      <c r="R19" s="32"/>
      <c r="S19" s="33"/>
      <c r="T19" s="34"/>
      <c r="U19" s="34"/>
      <c r="V19" s="16"/>
      <c r="W19" s="16"/>
      <c r="X19" s="35"/>
      <c r="Y19" s="25"/>
      <c r="Z19" s="3"/>
      <c r="AA19" s="3"/>
      <c r="AB19" s="3"/>
      <c r="AC19" s="3"/>
      <c r="AD19" s="4"/>
      <c r="AE19" s="4"/>
    </row>
    <row r="20" spans="1:32" ht="15.75" x14ac:dyDescent="0.25">
      <c r="A20" s="55">
        <v>8</v>
      </c>
      <c r="B20" s="61" t="e">
        <f t="shared" si="1"/>
        <v>#REF!</v>
      </c>
      <c r="C20" s="61">
        <f t="shared" si="2"/>
        <v>0.18934036987423086</v>
      </c>
      <c r="D20" s="56" t="e">
        <f t="shared" si="0"/>
        <v>#REF!</v>
      </c>
      <c r="E20" s="56" t="e">
        <f t="shared" si="3"/>
        <v>#REF!</v>
      </c>
      <c r="F20" s="14"/>
      <c r="G20" s="16"/>
      <c r="H20" s="16"/>
      <c r="I20" s="30"/>
      <c r="J20" s="25"/>
      <c r="K20" s="25"/>
      <c r="L20" s="16"/>
      <c r="M20" s="16"/>
      <c r="N20" s="25"/>
      <c r="O20" s="25"/>
      <c r="P20" s="31"/>
      <c r="Q20" s="25"/>
      <c r="R20" s="32"/>
      <c r="S20" s="33"/>
      <c r="T20" s="34"/>
      <c r="U20" s="34"/>
      <c r="V20" s="16"/>
      <c r="W20" s="16"/>
      <c r="X20" s="35"/>
      <c r="Y20" s="25"/>
      <c r="Z20" s="3"/>
      <c r="AA20" s="3"/>
      <c r="AB20" s="3"/>
      <c r="AC20" s="3"/>
      <c r="AD20" s="4"/>
      <c r="AE20" s="4"/>
    </row>
    <row r="21" spans="1:32" ht="15.75" x14ac:dyDescent="0.25">
      <c r="A21" s="55">
        <v>9</v>
      </c>
      <c r="B21" s="61" t="e">
        <f t="shared" si="1"/>
        <v>#REF!</v>
      </c>
      <c r="C21" s="61">
        <f t="shared" si="2"/>
        <v>0.19526728281982891</v>
      </c>
      <c r="D21" s="56" t="e">
        <f t="shared" si="0"/>
        <v>#REF!</v>
      </c>
      <c r="E21" s="56" t="e">
        <f t="shared" si="3"/>
        <v>#REF!</v>
      </c>
      <c r="F21" s="14"/>
      <c r="G21" s="16"/>
      <c r="H21" s="16"/>
      <c r="I21" s="30"/>
      <c r="J21" s="25"/>
      <c r="K21" s="25"/>
      <c r="L21" s="16"/>
      <c r="M21" s="16"/>
      <c r="N21" s="25"/>
      <c r="O21" s="25"/>
      <c r="P21" s="31"/>
      <c r="Q21" s="25"/>
      <c r="R21" s="32"/>
      <c r="S21" s="33"/>
      <c r="T21" s="34"/>
      <c r="U21" s="34"/>
      <c r="V21" s="16"/>
      <c r="W21" s="16"/>
      <c r="X21" s="35"/>
      <c r="Y21" s="25"/>
      <c r="Z21" s="3"/>
      <c r="AA21" s="3"/>
      <c r="AB21" s="3"/>
      <c r="AC21" s="3"/>
      <c r="AD21" s="4"/>
      <c r="AE21" s="4"/>
    </row>
    <row r="22" spans="1:32" ht="15.75" x14ac:dyDescent="0.25">
      <c r="A22" s="55">
        <v>10</v>
      </c>
      <c r="B22" s="61" t="e">
        <f t="shared" si="1"/>
        <v>#REF!</v>
      </c>
      <c r="C22" s="61">
        <f t="shared" si="2"/>
        <v>0.2014016377185229</v>
      </c>
      <c r="D22" s="56" t="e">
        <f t="shared" si="0"/>
        <v>#REF!</v>
      </c>
      <c r="E22" s="56" t="e">
        <f t="shared" si="3"/>
        <v>#REF!</v>
      </c>
      <c r="F22" s="14"/>
      <c r="G22" s="16"/>
      <c r="H22" s="16"/>
      <c r="I22" s="30"/>
      <c r="J22" s="25"/>
      <c r="K22" s="25"/>
      <c r="L22" s="16"/>
      <c r="M22" s="16"/>
      <c r="N22" s="25"/>
      <c r="O22" s="25"/>
      <c r="P22" s="31"/>
      <c r="Q22" s="25"/>
      <c r="R22" s="32"/>
      <c r="S22" s="33"/>
      <c r="T22" s="34"/>
      <c r="U22" s="34"/>
      <c r="V22" s="16"/>
      <c r="W22" s="16"/>
      <c r="X22" s="35"/>
      <c r="Y22" s="25"/>
      <c r="Z22" s="3"/>
      <c r="AA22" s="3"/>
      <c r="AB22" s="3"/>
      <c r="AC22" s="3"/>
      <c r="AD22" s="4"/>
      <c r="AE22" s="4"/>
    </row>
    <row r="23" spans="1:32" ht="15.75" x14ac:dyDescent="0.25">
      <c r="A23" s="55">
        <v>11</v>
      </c>
      <c r="B23" s="61" t="e">
        <f t="shared" si="1"/>
        <v>#REF!</v>
      </c>
      <c r="C23" s="61">
        <f t="shared" si="2"/>
        <v>0.20775069503867119</v>
      </c>
      <c r="D23" s="56" t="e">
        <f t="shared" si="0"/>
        <v>#REF!</v>
      </c>
      <c r="E23" s="56" t="e">
        <f t="shared" si="3"/>
        <v>#REF!</v>
      </c>
      <c r="F23" s="14"/>
      <c r="G23" s="16"/>
      <c r="H23" s="16"/>
      <c r="I23" s="30"/>
      <c r="J23" s="25"/>
      <c r="K23" s="25"/>
      <c r="L23" s="16"/>
      <c r="M23" s="16"/>
      <c r="N23" s="25"/>
      <c r="O23" s="25"/>
      <c r="P23" s="31"/>
      <c r="Q23" s="25"/>
      <c r="R23" s="32"/>
      <c r="S23" s="33"/>
      <c r="T23" s="34"/>
      <c r="U23" s="34"/>
      <c r="V23" s="16"/>
      <c r="W23" s="16"/>
      <c r="X23" s="35"/>
      <c r="Y23" s="25"/>
      <c r="Z23" s="3"/>
      <c r="AA23" s="3"/>
      <c r="AB23" s="3"/>
      <c r="AC23" s="3"/>
      <c r="AD23" s="4"/>
      <c r="AE23" s="4"/>
    </row>
    <row r="24" spans="1:32" ht="15.75" x14ac:dyDescent="0.25">
      <c r="A24" s="55">
        <v>12</v>
      </c>
      <c r="B24" s="61" t="e">
        <f t="shared" si="1"/>
        <v>#REF!</v>
      </c>
      <c r="C24" s="61">
        <f t="shared" si="2"/>
        <v>0.21432196936502468</v>
      </c>
      <c r="D24" s="56" t="e">
        <f t="shared" si="0"/>
        <v>#REF!</v>
      </c>
      <c r="E24" s="56" t="e">
        <f t="shared" si="3"/>
        <v>#REF!</v>
      </c>
      <c r="F24" s="14"/>
      <c r="G24" s="16"/>
      <c r="H24" s="16"/>
      <c r="I24" s="30"/>
      <c r="J24" s="25"/>
      <c r="K24" s="25"/>
      <c r="L24" s="16"/>
      <c r="M24" s="16"/>
      <c r="N24" s="25"/>
      <c r="O24" s="25"/>
      <c r="P24" s="31"/>
      <c r="Q24" s="25"/>
      <c r="R24" s="32"/>
      <c r="S24" s="33"/>
      <c r="T24" s="34"/>
      <c r="U24" s="34"/>
      <c r="V24" s="16"/>
      <c r="W24" s="16"/>
      <c r="X24" s="35"/>
      <c r="Y24" s="25"/>
      <c r="Z24" s="3"/>
      <c r="AA24" s="3"/>
      <c r="AB24" s="3"/>
      <c r="AC24" s="3"/>
      <c r="AD24" s="4"/>
      <c r="AE24" s="4"/>
    </row>
    <row r="25" spans="1:32" ht="15.75" x14ac:dyDescent="0.25">
      <c r="A25" s="55">
        <v>13</v>
      </c>
      <c r="B25" s="61" t="e">
        <f t="shared" si="1"/>
        <v>#REF!</v>
      </c>
      <c r="C25" s="61">
        <f t="shared" si="2"/>
        <v>0.22112323829280053</v>
      </c>
      <c r="D25" s="56" t="e">
        <f t="shared" si="0"/>
        <v>#REF!</v>
      </c>
      <c r="E25" s="56" t="e">
        <f t="shared" si="3"/>
        <v>#REF!</v>
      </c>
      <c r="F25" s="14"/>
      <c r="G25" s="16"/>
      <c r="H25" s="16"/>
      <c r="I25" s="30"/>
      <c r="J25" s="25"/>
      <c r="K25" s="25"/>
      <c r="L25" s="16"/>
      <c r="M25" s="16"/>
      <c r="N25" s="25"/>
      <c r="O25" s="25"/>
      <c r="P25" s="31"/>
      <c r="Q25" s="25"/>
      <c r="R25" s="32"/>
      <c r="S25" s="33"/>
      <c r="T25" s="34"/>
      <c r="U25" s="34"/>
      <c r="V25" s="16"/>
      <c r="W25" s="16"/>
      <c r="X25" s="35"/>
      <c r="Y25" s="25"/>
      <c r="Z25" s="3"/>
      <c r="AA25" s="3"/>
      <c r="AB25" s="3"/>
      <c r="AC25" s="3"/>
      <c r="AD25" s="4"/>
      <c r="AE25" s="4"/>
    </row>
    <row r="26" spans="1:32" ht="15.75" x14ac:dyDescent="0.25">
      <c r="A26" s="55">
        <v>14</v>
      </c>
      <c r="B26" s="61" t="e">
        <f t="shared" si="1"/>
        <v>#REF!</v>
      </c>
      <c r="C26" s="61">
        <f t="shared" si="2"/>
        <v>0.22816255163304852</v>
      </c>
      <c r="D26" s="56" t="e">
        <f t="shared" si="0"/>
        <v>#REF!</v>
      </c>
      <c r="E26" s="56" t="e">
        <f t="shared" si="3"/>
        <v>#REF!</v>
      </c>
      <c r="F26" s="14"/>
      <c r="G26" s="16"/>
      <c r="H26" s="16"/>
      <c r="I26" s="30"/>
      <c r="J26" s="25"/>
      <c r="K26" s="25"/>
      <c r="L26" s="16"/>
      <c r="M26" s="16"/>
      <c r="N26" s="25"/>
      <c r="O26" s="25"/>
      <c r="P26" s="31"/>
      <c r="Q26" s="25"/>
      <c r="R26" s="32"/>
      <c r="S26" s="33"/>
      <c r="T26" s="34"/>
      <c r="U26" s="34"/>
      <c r="V26" s="16"/>
      <c r="W26" s="16"/>
      <c r="X26" s="35"/>
      <c r="Y26" s="25"/>
      <c r="Z26" s="3"/>
      <c r="AA26" s="3"/>
      <c r="AB26" s="3"/>
      <c r="AC26" s="3"/>
      <c r="AD26" s="4"/>
      <c r="AE26" s="4"/>
    </row>
    <row r="27" spans="1:32" ht="15.75" x14ac:dyDescent="0.25">
      <c r="A27" s="55">
        <v>15</v>
      </c>
      <c r="B27" s="61" t="e">
        <f t="shared" si="1"/>
        <v>#REF!</v>
      </c>
      <c r="C27" s="61">
        <f t="shared" si="2"/>
        <v>0.23544824094020525</v>
      </c>
      <c r="D27" s="56" t="e">
        <f t="shared" si="0"/>
        <v>#REF!</v>
      </c>
      <c r="E27" s="56" t="e">
        <f t="shared" si="3"/>
        <v>#REF!</v>
      </c>
      <c r="F27" s="14"/>
      <c r="G27" s="16"/>
      <c r="H27" s="16"/>
      <c r="I27" s="30"/>
      <c r="J27" s="25"/>
      <c r="K27" s="25"/>
      <c r="L27" s="16"/>
      <c r="M27" s="16"/>
      <c r="N27" s="25"/>
      <c r="O27" s="25"/>
      <c r="P27" s="31"/>
      <c r="Q27" s="25"/>
      <c r="R27" s="32"/>
      <c r="S27" s="33"/>
      <c r="T27" s="34"/>
      <c r="U27" s="34"/>
      <c r="V27" s="16"/>
      <c r="W27" s="16"/>
      <c r="X27" s="35"/>
      <c r="Y27" s="25"/>
      <c r="Z27" s="3"/>
      <c r="AA27" s="3"/>
      <c r="AB27" s="3"/>
      <c r="AC27" s="3"/>
      <c r="AD27" s="4"/>
      <c r="AE27" s="4"/>
    </row>
    <row r="28" spans="1:32" ht="15.75" x14ac:dyDescent="0.25">
      <c r="A28" s="55">
        <v>16</v>
      </c>
      <c r="B28" s="61" t="e">
        <f t="shared" si="1"/>
        <v>#REF!</v>
      </c>
      <c r="C28" s="61">
        <f t="shared" si="2"/>
        <v>0.24298892937311239</v>
      </c>
      <c r="D28" s="56" t="e">
        <f t="shared" si="0"/>
        <v>#REF!</v>
      </c>
      <c r="E28" s="56" t="e">
        <f t="shared" si="3"/>
        <v>#REF!</v>
      </c>
      <c r="F28" s="14"/>
      <c r="G28" s="16"/>
      <c r="H28" s="16"/>
      <c r="I28" s="30"/>
      <c r="J28" s="25"/>
      <c r="K28" s="25"/>
      <c r="L28" s="16"/>
      <c r="M28" s="16"/>
      <c r="N28" s="25"/>
      <c r="O28" s="25"/>
      <c r="P28" s="31"/>
      <c r="Q28" s="25"/>
      <c r="R28" s="32"/>
      <c r="S28" s="33"/>
      <c r="T28" s="34"/>
      <c r="U28" s="34"/>
      <c r="V28" s="16"/>
      <c r="W28" s="16"/>
      <c r="X28" s="35"/>
      <c r="Y28" s="25"/>
      <c r="Z28" s="3"/>
      <c r="AA28" s="3"/>
      <c r="AB28" s="3"/>
      <c r="AC28" s="3"/>
      <c r="AD28" s="4"/>
      <c r="AE28" s="4"/>
    </row>
    <row r="29" spans="1:32" ht="15.75" x14ac:dyDescent="0.25">
      <c r="A29" s="55">
        <v>17</v>
      </c>
      <c r="B29" s="61" t="e">
        <f t="shared" si="1"/>
        <v>#REF!</v>
      </c>
      <c r="C29" s="61">
        <f t="shared" si="2"/>
        <v>0.25079354190117131</v>
      </c>
      <c r="D29" s="56" t="e">
        <f t="shared" si="0"/>
        <v>#REF!</v>
      </c>
      <c r="E29" s="56" t="e">
        <f t="shared" si="3"/>
        <v>#REF!</v>
      </c>
      <c r="F29" s="14"/>
      <c r="G29" s="16"/>
      <c r="H29" s="16"/>
      <c r="I29" s="30"/>
      <c r="J29" s="25"/>
      <c r="K29" s="25"/>
      <c r="L29" s="16"/>
      <c r="M29" s="16"/>
      <c r="N29" s="25"/>
      <c r="O29" s="25"/>
      <c r="P29" s="31"/>
      <c r="Q29" s="25"/>
      <c r="R29" s="32"/>
      <c r="S29" s="33"/>
      <c r="T29" s="34"/>
      <c r="U29" s="34"/>
      <c r="V29" s="16"/>
      <c r="W29" s="16"/>
      <c r="X29" s="35"/>
      <c r="Y29" s="25"/>
      <c r="Z29" s="3"/>
      <c r="AA29" s="3"/>
      <c r="AB29" s="3"/>
      <c r="AC29" s="3"/>
      <c r="AD29" s="4"/>
      <c r="AE29" s="4"/>
    </row>
    <row r="30" spans="1:32" ht="15.75" x14ac:dyDescent="0.25">
      <c r="A30" s="55">
        <v>18</v>
      </c>
      <c r="B30" s="61" t="e">
        <f t="shared" si="1"/>
        <v>#REF!</v>
      </c>
      <c r="C30" s="61">
        <f t="shared" si="2"/>
        <v>0.25887131586771228</v>
      </c>
      <c r="D30" s="56" t="e">
        <f t="shared" si="0"/>
        <v>#REF!</v>
      </c>
      <c r="E30" s="56" t="e">
        <f t="shared" si="3"/>
        <v>#REF!</v>
      </c>
      <c r="F30" s="14"/>
      <c r="G30" s="16"/>
      <c r="H30" s="16"/>
      <c r="I30" s="30"/>
      <c r="J30" s="25"/>
      <c r="K30" s="25"/>
      <c r="L30" s="16"/>
      <c r="M30" s="16"/>
      <c r="N30" s="25"/>
      <c r="O30" s="25"/>
      <c r="P30" s="31"/>
      <c r="Q30" s="25"/>
      <c r="R30" s="32"/>
      <c r="S30" s="33"/>
      <c r="T30" s="34"/>
      <c r="U30" s="34"/>
      <c r="V30" s="16"/>
      <c r="W30" s="16"/>
      <c r="X30" s="35"/>
      <c r="Y30" s="25"/>
      <c r="Z30" s="3"/>
      <c r="AA30" s="3"/>
      <c r="AB30" s="3"/>
      <c r="AC30" s="3"/>
      <c r="AD30" s="4"/>
      <c r="AE30" s="4"/>
    </row>
    <row r="31" spans="1:32" ht="15.75" x14ac:dyDescent="0.25">
      <c r="A31" s="55">
        <v>19</v>
      </c>
      <c r="B31" s="61" t="e">
        <f t="shared" si="1"/>
        <v>#REF!</v>
      </c>
      <c r="C31" s="61">
        <f t="shared" si="2"/>
        <v>0.26723181192308221</v>
      </c>
      <c r="D31" s="56" t="e">
        <f t="shared" si="0"/>
        <v>#REF!</v>
      </c>
      <c r="E31" s="56" t="e">
        <f t="shared" si="3"/>
        <v>#REF!</v>
      </c>
      <c r="F31" s="14"/>
      <c r="G31" s="16"/>
      <c r="H31" s="16"/>
      <c r="I31" s="30"/>
      <c r="J31" s="25"/>
      <c r="K31" s="25"/>
      <c r="L31" s="16"/>
      <c r="M31" s="16"/>
      <c r="N31" s="25"/>
      <c r="O31" s="25"/>
      <c r="P31" s="31"/>
      <c r="Q31" s="25"/>
      <c r="R31" s="32"/>
      <c r="S31" s="33"/>
      <c r="T31" s="34"/>
      <c r="U31" s="34"/>
      <c r="V31" s="16"/>
      <c r="W31" s="16"/>
      <c r="X31" s="35"/>
      <c r="Y31" s="25"/>
      <c r="Z31" s="3"/>
      <c r="AA31" s="3"/>
      <c r="AB31" s="3"/>
      <c r="AC31" s="3"/>
      <c r="AD31" s="4"/>
      <c r="AE31" s="4"/>
      <c r="AF31" s="106"/>
    </row>
    <row r="32" spans="1:32" ht="15.75" x14ac:dyDescent="0.25">
      <c r="A32" s="55">
        <v>20</v>
      </c>
      <c r="B32" s="61" t="e">
        <f t="shared" si="1"/>
        <v>#REF!</v>
      </c>
      <c r="C32" s="61">
        <f t="shared" si="2"/>
        <v>0.27588492534039005</v>
      </c>
      <c r="D32" s="56" t="e">
        <f t="shared" si="0"/>
        <v>#REF!</v>
      </c>
      <c r="E32" s="56" t="e">
        <f t="shared" si="3"/>
        <v>#REF!</v>
      </c>
      <c r="F32" s="14"/>
      <c r="G32" s="16"/>
      <c r="H32" s="16"/>
      <c r="I32" s="30"/>
      <c r="J32" s="25"/>
      <c r="K32" s="25"/>
      <c r="L32" s="16"/>
      <c r="M32" s="16"/>
      <c r="N32" s="25"/>
      <c r="O32" s="25"/>
      <c r="P32" s="31"/>
      <c r="Q32" s="25"/>
      <c r="R32" s="32"/>
      <c r="S32" s="33"/>
      <c r="T32" s="34"/>
      <c r="U32" s="34"/>
      <c r="V32" s="16"/>
      <c r="W32" s="16"/>
      <c r="X32" s="35"/>
      <c r="Y32" s="25"/>
      <c r="Z32" s="3"/>
      <c r="AA32" s="3"/>
      <c r="AB32" s="3"/>
      <c r="AC32" s="3"/>
      <c r="AD32" s="4"/>
      <c r="AE32" s="4"/>
      <c r="AF32" s="106"/>
    </row>
    <row r="33" spans="1:32" ht="15.75" x14ac:dyDescent="0.25">
      <c r="A33" s="55">
        <v>21</v>
      </c>
      <c r="B33" s="61" t="e">
        <f t="shared" si="1"/>
        <v>#REF!</v>
      </c>
      <c r="C33" s="61">
        <f t="shared" si="2"/>
        <v>0.2848408977273037</v>
      </c>
      <c r="D33" s="56" t="e">
        <f t="shared" si="0"/>
        <v>#REF!</v>
      </c>
      <c r="E33" s="56" t="e">
        <f t="shared" si="3"/>
        <v>#REF!</v>
      </c>
      <c r="F33" s="14"/>
      <c r="G33" s="16"/>
      <c r="H33" s="16"/>
      <c r="I33" s="30"/>
      <c r="J33" s="25"/>
      <c r="K33" s="25"/>
      <c r="L33" s="16"/>
      <c r="M33" s="16"/>
      <c r="N33" s="25"/>
      <c r="O33" s="25"/>
      <c r="P33" s="31"/>
      <c r="Q33" s="25"/>
      <c r="R33" s="32"/>
      <c r="S33" s="33"/>
      <c r="T33" s="34"/>
      <c r="U33" s="34"/>
      <c r="V33" s="16"/>
      <c r="W33" s="16"/>
      <c r="X33" s="35"/>
      <c r="Y33" s="25"/>
      <c r="Z33" s="3"/>
      <c r="AA33" s="3"/>
      <c r="AB33" s="3"/>
      <c r="AC33" s="3"/>
      <c r="AD33" s="4"/>
      <c r="AE33" s="4"/>
      <c r="AF33" s="106"/>
    </row>
    <row r="34" spans="1:32" ht="15.75" x14ac:dyDescent="0.25">
      <c r="A34" s="55">
        <v>22</v>
      </c>
      <c r="B34" s="61" t="e">
        <f t="shared" si="1"/>
        <v>#REF!</v>
      </c>
      <c r="C34" s="61">
        <f t="shared" si="2"/>
        <v>0.29411032914775925</v>
      </c>
      <c r="D34" s="56" t="e">
        <f t="shared" si="0"/>
        <v>#REF!</v>
      </c>
      <c r="E34" s="56" t="e">
        <f t="shared" si="3"/>
        <v>#REF!</v>
      </c>
      <c r="F34" s="14"/>
      <c r="G34" s="16"/>
      <c r="H34" s="16"/>
      <c r="I34" s="30"/>
      <c r="J34" s="25"/>
      <c r="K34" s="25"/>
      <c r="L34" s="16"/>
      <c r="M34" s="16"/>
      <c r="N34" s="25"/>
      <c r="O34" s="25"/>
      <c r="P34" s="31"/>
      <c r="Q34" s="25"/>
      <c r="R34" s="32"/>
      <c r="S34" s="33"/>
      <c r="T34" s="34"/>
      <c r="U34" s="34"/>
      <c r="V34" s="16"/>
      <c r="W34" s="16"/>
      <c r="X34" s="35"/>
      <c r="Y34" s="25"/>
      <c r="Z34" s="3"/>
      <c r="AA34" s="3"/>
      <c r="AB34" s="3"/>
      <c r="AC34" s="3"/>
      <c r="AD34" s="4"/>
      <c r="AE34" s="4"/>
      <c r="AF34" s="106"/>
    </row>
    <row r="35" spans="1:32" ht="15.75" x14ac:dyDescent="0.25">
      <c r="A35" s="55">
        <v>23</v>
      </c>
      <c r="B35" s="61" t="e">
        <f t="shared" si="1"/>
        <v>#REF!</v>
      </c>
      <c r="C35" s="61">
        <f t="shared" si="2"/>
        <v>0.30370419066793086</v>
      </c>
      <c r="D35" s="56" t="e">
        <f t="shared" si="0"/>
        <v>#REF!</v>
      </c>
      <c r="E35" s="56" t="e">
        <f t="shared" si="3"/>
        <v>#REF!</v>
      </c>
      <c r="F35" s="14"/>
      <c r="G35" s="16"/>
      <c r="H35" s="16"/>
      <c r="I35" s="30"/>
      <c r="J35" s="25"/>
      <c r="K35" s="25"/>
      <c r="L35" s="16"/>
      <c r="M35" s="16"/>
      <c r="N35" s="25"/>
      <c r="O35" s="25"/>
      <c r="P35" s="31"/>
      <c r="Q35" s="25"/>
      <c r="R35" s="32"/>
      <c r="S35" s="33"/>
      <c r="T35" s="34"/>
      <c r="U35" s="34"/>
      <c r="V35" s="16"/>
      <c r="W35" s="16"/>
      <c r="X35" s="35"/>
      <c r="Y35" s="25"/>
      <c r="Z35" s="3"/>
      <c r="AA35" s="3"/>
      <c r="AB35" s="3"/>
      <c r="AC35" s="3"/>
      <c r="AD35" s="4"/>
      <c r="AE35" s="4"/>
      <c r="AF35" s="106"/>
    </row>
    <row r="36" spans="1:32" ht="15.75" x14ac:dyDescent="0.25">
      <c r="A36" s="55">
        <v>24</v>
      </c>
      <c r="B36" s="61" t="e">
        <f t="shared" si="1"/>
        <v>#REF!</v>
      </c>
      <c r="C36" s="61">
        <f t="shared" si="2"/>
        <v>0.3136338373413084</v>
      </c>
      <c r="D36" s="56" t="e">
        <f t="shared" si="0"/>
        <v>#REF!</v>
      </c>
      <c r="E36" s="56" t="e">
        <f t="shared" si="3"/>
        <v>#REF!</v>
      </c>
      <c r="F36" s="14"/>
      <c r="G36" s="16"/>
      <c r="H36" s="16"/>
      <c r="I36" s="30"/>
      <c r="J36" s="25"/>
      <c r="K36" s="25"/>
      <c r="L36" s="16"/>
      <c r="M36" s="16"/>
      <c r="N36" s="25"/>
      <c r="O36" s="25"/>
      <c r="P36" s="31"/>
      <c r="Q36" s="25"/>
      <c r="R36" s="32"/>
      <c r="S36" s="33"/>
      <c r="T36" s="34"/>
      <c r="U36" s="34"/>
      <c r="V36" s="16"/>
      <c r="W36" s="16"/>
      <c r="X36" s="35"/>
      <c r="Y36" s="25"/>
      <c r="Z36" s="3"/>
      <c r="AA36" s="3"/>
      <c r="AB36" s="3"/>
      <c r="AC36" s="3"/>
      <c r="AD36" s="4"/>
      <c r="AE36" s="4"/>
      <c r="AF36" s="106"/>
    </row>
    <row r="37" spans="1:32" ht="16.5" thickBot="1" x14ac:dyDescent="0.3">
      <c r="A37" s="55">
        <v>25</v>
      </c>
      <c r="B37" s="61" t="e">
        <f t="shared" si="1"/>
        <v>#REF!</v>
      </c>
      <c r="C37" s="61">
        <f t="shared" si="2"/>
        <v>0.32391102164825414</v>
      </c>
      <c r="D37" s="56" t="e">
        <f t="shared" si="0"/>
        <v>#REF!</v>
      </c>
      <c r="E37" s="56" t="e">
        <f t="shared" si="3"/>
        <v>#REF!</v>
      </c>
      <c r="F37" s="14"/>
      <c r="G37" s="16"/>
      <c r="H37" s="16"/>
      <c r="I37" s="30"/>
      <c r="J37" s="25"/>
      <c r="K37" s="25"/>
      <c r="L37" s="16"/>
      <c r="M37" s="16"/>
      <c r="N37" s="25"/>
      <c r="O37" s="25"/>
      <c r="P37" s="31"/>
      <c r="Q37" s="25"/>
      <c r="R37" s="32"/>
      <c r="S37" s="33"/>
      <c r="T37" s="34"/>
      <c r="U37" s="34"/>
      <c r="V37" s="16"/>
      <c r="W37" s="16"/>
      <c r="X37" s="35"/>
      <c r="Y37" s="25"/>
      <c r="Z37" s="3"/>
      <c r="AA37" s="3"/>
      <c r="AB37" s="3"/>
      <c r="AC37" s="3"/>
      <c r="AD37" s="4"/>
      <c r="AE37" s="4"/>
      <c r="AF37" s="106"/>
    </row>
    <row r="38" spans="1:32" ht="16.5" thickBot="1" x14ac:dyDescent="0.3">
      <c r="A38" s="42"/>
      <c r="B38" s="42"/>
      <c r="C38" s="42"/>
      <c r="D38" s="57" t="e">
        <f>SUM(D13:D37)* 12</f>
        <v>#REF!</v>
      </c>
      <c r="E38" s="58" t="e">
        <f>SUM(E13:E37)</f>
        <v>#REF!</v>
      </c>
      <c r="F38" s="15"/>
      <c r="G38" s="16"/>
      <c r="H38" s="16"/>
      <c r="I38" s="35"/>
      <c r="J38" s="41"/>
      <c r="K38" s="41"/>
      <c r="L38" s="37"/>
      <c r="M38" s="41"/>
      <c r="N38" s="25"/>
      <c r="O38" s="25"/>
      <c r="P38" s="16"/>
      <c r="Q38" s="16"/>
      <c r="R38" s="16"/>
      <c r="S38" s="16"/>
      <c r="T38" s="34"/>
      <c r="U38" s="34"/>
      <c r="V38" s="16"/>
      <c r="W38" s="16"/>
      <c r="X38" s="35"/>
      <c r="Y38" s="25"/>
      <c r="Z38" s="106"/>
      <c r="AA38" s="3"/>
      <c r="AB38" s="3"/>
      <c r="AC38" s="106"/>
      <c r="AD38" s="4"/>
      <c r="AE38" s="106"/>
      <c r="AF38" s="11"/>
    </row>
    <row r="39" spans="1:32" x14ac:dyDescent="0.25">
      <c r="A39" s="106"/>
      <c r="B39" s="106"/>
      <c r="C39" s="106"/>
      <c r="D39" s="106"/>
      <c r="E39" s="106"/>
      <c r="F39" s="106"/>
      <c r="G39" s="16"/>
      <c r="H39" s="16"/>
      <c r="I39" s="16"/>
      <c r="J39" s="16"/>
      <c r="K39" s="16"/>
      <c r="L39" s="16"/>
      <c r="M39" s="16"/>
      <c r="N39" s="16"/>
      <c r="O39" s="16"/>
      <c r="P39" s="16"/>
      <c r="Q39" s="16"/>
      <c r="R39" s="16"/>
      <c r="S39" s="16"/>
      <c r="T39" s="16"/>
      <c r="U39" s="16"/>
      <c r="V39" s="16"/>
      <c r="W39" s="16"/>
      <c r="X39" s="16"/>
      <c r="Y39" s="16"/>
      <c r="Z39" s="106"/>
      <c r="AA39" s="106"/>
      <c r="AB39" s="106"/>
      <c r="AC39" s="106"/>
      <c r="AD39" s="106"/>
      <c r="AE39" s="106"/>
      <c r="AF39" s="106"/>
    </row>
    <row r="40" spans="1:32" x14ac:dyDescent="0.25">
      <c r="A40" s="106"/>
      <c r="B40" s="106"/>
      <c r="C40" s="106"/>
      <c r="D40" s="106"/>
      <c r="E40" s="106"/>
      <c r="F40" s="106"/>
      <c r="G40" s="16"/>
      <c r="H40" s="16"/>
      <c r="I40" s="16"/>
      <c r="J40" s="16"/>
      <c r="K40" s="16"/>
      <c r="L40" s="16"/>
      <c r="M40" s="16"/>
      <c r="N40" s="16"/>
      <c r="O40" s="16"/>
      <c r="P40" s="16"/>
      <c r="Q40" s="16"/>
      <c r="R40" s="16"/>
      <c r="S40" s="16"/>
      <c r="T40" s="16"/>
      <c r="U40" s="16"/>
      <c r="V40" s="16"/>
      <c r="W40" s="16"/>
      <c r="X40" s="16"/>
      <c r="Y40" s="16"/>
      <c r="Z40" s="106"/>
      <c r="AA40" s="106"/>
      <c r="AB40" s="106"/>
      <c r="AC40" s="106"/>
      <c r="AD40" s="106"/>
      <c r="AE40" s="106"/>
      <c r="AF40" s="106"/>
    </row>
    <row r="41" spans="1:32" x14ac:dyDescent="0.25">
      <c r="A41" s="106"/>
      <c r="B41" s="106"/>
      <c r="C41" s="106"/>
      <c r="D41" s="106"/>
      <c r="E41" s="106"/>
      <c r="F41" s="106"/>
      <c r="G41" s="16"/>
      <c r="H41" s="16"/>
      <c r="I41" s="16"/>
      <c r="J41" s="16"/>
      <c r="K41" s="16"/>
      <c r="L41" s="16"/>
      <c r="M41" s="16"/>
      <c r="N41" s="16"/>
      <c r="O41" s="16"/>
      <c r="P41" s="16"/>
      <c r="Q41" s="16"/>
      <c r="R41" s="16"/>
      <c r="S41" s="16"/>
      <c r="T41" s="16"/>
      <c r="U41" s="16"/>
      <c r="V41" s="16"/>
      <c r="W41" s="16"/>
      <c r="X41" s="16"/>
      <c r="Y41" s="16"/>
      <c r="Z41" s="106"/>
      <c r="AA41" s="106"/>
      <c r="AB41" s="106"/>
      <c r="AC41" s="106"/>
      <c r="AD41" s="106"/>
      <c r="AE41" s="106"/>
      <c r="AF41" s="106"/>
    </row>
    <row r="42" spans="1:32" x14ac:dyDescent="0.25">
      <c r="A42" s="106"/>
      <c r="B42" s="106"/>
      <c r="C42" s="106"/>
      <c r="D42" s="106"/>
      <c r="E42" s="106"/>
      <c r="F42" s="106"/>
      <c r="G42" s="16"/>
      <c r="H42" s="16"/>
      <c r="I42" s="16"/>
      <c r="J42" s="16"/>
      <c r="K42" s="16"/>
      <c r="L42" s="16"/>
      <c r="M42" s="16"/>
      <c r="N42" s="16"/>
      <c r="O42" s="16"/>
      <c r="P42" s="16"/>
      <c r="Q42" s="16"/>
      <c r="R42" s="16"/>
      <c r="S42" s="16"/>
      <c r="T42" s="16"/>
      <c r="U42" s="16"/>
      <c r="V42" s="16"/>
      <c r="W42" s="16"/>
      <c r="X42" s="16"/>
      <c r="Y42" s="16"/>
      <c r="Z42" s="106"/>
      <c r="AA42" s="106"/>
      <c r="AB42" s="106"/>
      <c r="AC42" s="106"/>
      <c r="AD42" s="106"/>
      <c r="AE42" s="106"/>
      <c r="AF42" s="106"/>
    </row>
    <row r="43" spans="1:32" x14ac:dyDescent="0.25">
      <c r="A43" s="106"/>
      <c r="B43" s="106"/>
      <c r="C43" s="106"/>
      <c r="D43" s="106"/>
      <c r="E43" s="106"/>
      <c r="F43" s="106"/>
      <c r="G43" s="16"/>
      <c r="H43" s="16"/>
      <c r="I43" s="16"/>
      <c r="J43" s="16"/>
      <c r="K43" s="16"/>
      <c r="L43" s="16"/>
      <c r="M43" s="16"/>
      <c r="N43" s="16"/>
      <c r="O43" s="16"/>
      <c r="P43" s="16"/>
      <c r="Q43" s="16"/>
      <c r="R43" s="16"/>
      <c r="S43" s="16"/>
      <c r="T43" s="16"/>
      <c r="U43" s="16"/>
      <c r="V43" s="16"/>
      <c r="W43" s="16"/>
      <c r="X43" s="16"/>
      <c r="Y43" s="16"/>
      <c r="Z43" s="106"/>
      <c r="AA43" s="106"/>
      <c r="AB43" s="106"/>
      <c r="AC43" s="106"/>
      <c r="AD43" s="106"/>
      <c r="AE43" s="106"/>
      <c r="AF43" s="106"/>
    </row>
  </sheetData>
  <mergeCells count="2">
    <mergeCell ref="B7:D8"/>
    <mergeCell ref="S8:W9"/>
  </mergeCells>
  <pageMargins left="0.7" right="0.7" top="0.75" bottom="0.75" header="0.3" footer="0.3"/>
  <pageSetup scale="7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C3AB86A27D5F42A346487301B5F6C1" ma:contentTypeVersion="15" ma:contentTypeDescription="Create a new document." ma:contentTypeScope="" ma:versionID="274a968191c3330fbb6889e031faa375">
  <xsd:schema xmlns:xsd="http://www.w3.org/2001/XMLSchema" xmlns:xs="http://www.w3.org/2001/XMLSchema" xmlns:p="http://schemas.microsoft.com/office/2006/metadata/properties" xmlns:ns2="f5807569-94f0-41d0-a3d7-00e33efdd08f" xmlns:ns3="deae0b55-203e-4120-8ec9-56200b9d0530" targetNamespace="http://schemas.microsoft.com/office/2006/metadata/properties" ma:root="true" ma:fieldsID="96dbef0057df7241567fe30eb8b93d42" ns2:_="" ns3:_="">
    <xsd:import namespace="f5807569-94f0-41d0-a3d7-00e33efdd08f"/>
    <xsd:import namespace="deae0b55-203e-4120-8ec9-56200b9d0530"/>
    <xsd:element name="properties">
      <xsd:complexType>
        <xsd:sequence>
          <xsd:element name="documentManagement">
            <xsd:complexType>
              <xsd:all>
                <xsd:element ref="ns2:SharedWithUsers" minOccurs="0"/>
                <xsd:element ref="ns2:SharingHintHash" minOccurs="0"/>
                <xsd:element ref="ns2:SharedWithDetails" minOccurs="0"/>
                <xsd:element ref="ns2:LastSharedByUser" minOccurs="0"/>
                <xsd:element ref="ns2:LastSharedByTime" minOccurs="0"/>
                <xsd:element ref="ns3:This_x0020_doc_x0020_is_x0020_a_x0020_PDF_x0020_that_x0027_s_x0020_been_x0020_CONVERTED_x0020_to_x0020_Word_x002e__x0020_If_x0020_you_x0020_have_x0020_any_x0020_issues_x002c__x0020_please_x0020_advise_x0020_Klara_x002e_" minOccurs="0"/>
                <xsd:element ref="ns3:MediaServiceMetadata" minOccurs="0"/>
                <xsd:element ref="ns3:MediaServiceFastMetadata"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807569-94f0-41d0-a3d7-00e33efdd08f" elementFormDefault="qualified">
    <xsd:import namespace="http://schemas.microsoft.com/office/2006/documentManagement/types"/>
    <xsd:import namespace="http://schemas.microsoft.com/office/infopath/2007/PartnerControls"/>
    <xsd:element name="SharedWithUsers" ma:index="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3"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eae0b55-203e-4120-8ec9-56200b9d0530" elementFormDefault="qualified">
    <xsd:import namespace="http://schemas.microsoft.com/office/2006/documentManagement/types"/>
    <xsd:import namespace="http://schemas.microsoft.com/office/infopath/2007/PartnerControls"/>
    <xsd:element name="This_x0020_doc_x0020_is_x0020_a_x0020_PDF_x0020_that_x0027_s_x0020_been_x0020_CONVERTED_x0020_to_x0020_Word_x002e__x0020_If_x0020_you_x0020_have_x0020_any_x0020_issues_x002c__x0020_please_x0020_advise_x0020_Klara_x002e_" ma:index="13" nillable="true" ma:displayName=".." ma:internalName="This_x0020_doc_x0020_is_x0020_a_x0020_PDF_x0020_that_x0027_s_x0020_been_x0020_CONVERTED_x0020_to_x0020_Word_x002e__x0020_If_x0020_you_x0020_have_x0020_any_x0020_issues_x002c__x0020_please_x0020_advise_x0020_Klara_x002e_">
      <xsd:simpleType>
        <xsd:restriction base="dms:Note">
          <xsd:maxLength value="255"/>
        </xsd:restriction>
      </xsd:simpleType>
    </xsd:element>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ma:readOnly="tru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his_x0020_doc_x0020_is_x0020_a_x0020_PDF_x0020_that_x0027_s_x0020_been_x0020_CONVERTED_x0020_to_x0020_Word_x002e__x0020_If_x0020_you_x0020_have_x0020_any_x0020_issues_x002c__x0020_please_x0020_advise_x0020_Klara_x002e_ xmlns="deae0b55-203e-4120-8ec9-56200b9d053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8482B4-5CB8-45C1-91B2-1065F169FD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807569-94f0-41d0-a3d7-00e33efdd08f"/>
    <ds:schemaRef ds:uri="deae0b55-203e-4120-8ec9-56200b9d05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DF9372C-7740-4A72-981A-A7E4F2F9C69E}">
  <ds:schemaRefs>
    <ds:schemaRef ds:uri="http://www.w3.org/XML/1998/namespace"/>
    <ds:schemaRef ds:uri="http://schemas.microsoft.com/office/2006/documentManagement/types"/>
    <ds:schemaRef ds:uri="http://purl.org/dc/elements/1.1/"/>
    <ds:schemaRef ds:uri="http://purl.org/dc/terms/"/>
    <ds:schemaRef ds:uri="http://schemas.microsoft.com/office/infopath/2007/PartnerControls"/>
    <ds:schemaRef ds:uri="f5807569-94f0-41d0-a3d7-00e33efdd08f"/>
    <ds:schemaRef ds:uri="http://purl.org/dc/dcmitype/"/>
    <ds:schemaRef ds:uri="http://schemas.openxmlformats.org/package/2006/metadata/core-properties"/>
    <ds:schemaRef ds:uri="deae0b55-203e-4120-8ec9-56200b9d0530"/>
    <ds:schemaRef ds:uri="http://schemas.microsoft.com/office/2006/metadata/properties"/>
  </ds:schemaRefs>
</ds:datastoreItem>
</file>

<file path=customXml/itemProps3.xml><?xml version="1.0" encoding="utf-8"?>
<ds:datastoreItem xmlns:ds="http://schemas.openxmlformats.org/officeDocument/2006/customXml" ds:itemID="{143EC868-6C00-4C17-8854-E13F29C5A9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Xcel CSG Calculator</vt:lpstr>
      <vt:lpstr>Detail 1</vt:lpstr>
      <vt:lpstr>Detail 2</vt:lpstr>
      <vt:lpstr>Detail 3</vt:lpstr>
      <vt:lpstr>Detail 4</vt:lpstr>
      <vt:lpstr>Detail 5</vt:lpstr>
      <vt:lpstr>Detail 6</vt:lpstr>
      <vt:lpstr>Detail 7</vt:lpstr>
      <vt:lpstr>PAYASGO </vt:lpstr>
      <vt:lpstr>Rates</vt:lpstr>
      <vt:lpstr>system size</vt:lpstr>
      <vt:lpstr>'Xcel CSG Calculator'!Print_Area</vt:lpstr>
      <vt:lpstr>rates</vt:lpstr>
      <vt:lpstr>size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meyer</dc:creator>
  <cp:keywords/>
  <dc:description/>
  <cp:lastModifiedBy>Trevor Drake</cp:lastModifiedBy>
  <cp:revision/>
  <dcterms:created xsi:type="dcterms:W3CDTF">2015-01-11T17:03:00Z</dcterms:created>
  <dcterms:modified xsi:type="dcterms:W3CDTF">2017-07-10T18:11:12Z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0x01010088C3AB86A27D5F42A346487301B5F6C1</vt:lpwstr>
  </property>
</Properties>
</file>