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5375" windowHeight="9435" activeTab="0"/>
  </bookViews>
  <sheets>
    <sheet name="input" sheetId="1" r:id="rId1"/>
    <sheet name="innards" sheetId="2" state="hidden" r:id="rId2"/>
    <sheet name="ElectPrices" sheetId="3" r:id="rId3"/>
    <sheet name="ElectricGHG" sheetId="4" r:id="rId4"/>
    <sheet name="GasolineGHG" sheetId="5" r:id="rId5"/>
    <sheet name="CalcGasUse" sheetId="6" r:id="rId6"/>
  </sheets>
  <definedNames>
    <definedName name="_xlnm.Print_Area" localSheetId="0">'input'!$A$1:$E$41</definedName>
  </definedNames>
  <calcPr fullCalcOnLoad="1"/>
</workbook>
</file>

<file path=xl/sharedStrings.xml><?xml version="1.0" encoding="utf-8"?>
<sst xmlns="http://schemas.openxmlformats.org/spreadsheetml/2006/main" count="377" uniqueCount="261">
  <si>
    <t>Purchase Price</t>
  </si>
  <si>
    <t>MPG</t>
  </si>
  <si>
    <t>per gal.</t>
  </si>
  <si>
    <t>Income Tax Credit</t>
  </si>
  <si>
    <t>Year</t>
  </si>
  <si>
    <t>Annual Miles Driven</t>
  </si>
  <si>
    <t>Miles</t>
  </si>
  <si>
    <t>Gasoline Purchases</t>
  </si>
  <si>
    <t>per year</t>
  </si>
  <si>
    <t>Hybrid Vehicle Analysis</t>
  </si>
  <si>
    <t xml:space="preserve">Doug Tiffany </t>
  </si>
  <si>
    <t>Tot.Purch., Gas &amp; Battery</t>
  </si>
  <si>
    <t>Disc. Value of Expense</t>
  </si>
  <si>
    <t xml:space="preserve">Acc.Disc. Val of Expenditures </t>
  </si>
  <si>
    <t>Battery Service in Yr. 8</t>
  </si>
  <si>
    <t>Gas Price Based on  Inflation Rate of</t>
  </si>
  <si>
    <t>This spreadsheet is designed for sensitivity analysis, so systematically try different values in the yellow-masked cells.</t>
  </si>
  <si>
    <t>Conventional  Vehicle</t>
  </si>
  <si>
    <t>Hybrid Vehicle</t>
  </si>
  <si>
    <t>Assumptions</t>
  </si>
  <si>
    <t>Conventional Model Miles per Gallon</t>
  </si>
  <si>
    <t>Hybrid Model Miles per Gallon</t>
  </si>
  <si>
    <t>Discount Rate Applied to Expenditures</t>
  </si>
  <si>
    <t>Conventional Vehicle</t>
  </si>
  <si>
    <t xml:space="preserve">Total Purchases </t>
  </si>
  <si>
    <t>Discounted Value of Purchases</t>
  </si>
  <si>
    <t>If you want to establish a flat price of gasoline over the assumed 15 year life of the vehicle, enter that price of gasoline for Year 1 and then enter zero for the rate of gas price inflation.</t>
  </si>
  <si>
    <r>
      <t>Instructions:</t>
    </r>
    <r>
      <rPr>
        <sz val="10"/>
        <rFont val="Arial"/>
        <family val="0"/>
      </rPr>
      <t xml:space="preserve">  </t>
    </r>
  </si>
  <si>
    <t xml:space="preserve">Enter appropriate values in the cells masked in yellow.  Then note the year when the green-masked value in row 29 (hybrid) is less then the corresponding  value in row 19 (conventional). </t>
  </si>
  <si>
    <t>Annual Gasoline Usage (gal.)</t>
  </si>
  <si>
    <t>Conventional</t>
  </si>
  <si>
    <t>Hybrid</t>
  </si>
  <si>
    <t xml:space="preserve">The availability and amount for the income tax credit depends on the particular vehicle, the number of vehicles sold by the carmaker, and the gasoline savings of the vehicle.  Check www.irs.gov to learn about the credit available for the vehicles you are </t>
  </si>
  <si>
    <t>Price</t>
  </si>
  <si>
    <t>months of loan</t>
  </si>
  <si>
    <t>annual interest rate</t>
  </si>
  <si>
    <t>Convent.</t>
  </si>
  <si>
    <t>monthly interest rate</t>
  </si>
  <si>
    <t>amount financed</t>
  </si>
  <si>
    <t>monthly payment</t>
  </si>
  <si>
    <t>Gas price levels over the life of a car purchased today are a major uncertainty, but this tool allows you to see what they would average over the expected 15 year life of the car.</t>
  </si>
  <si>
    <t>Remember, if one's annual miles driven are low, it is harder to justify a hybrid vehicle.</t>
  </si>
  <si>
    <r>
      <t>If the row 29 value is less than the row 19 value, then hybrid ownership and operation is cheaper than conventional in</t>
    </r>
    <r>
      <rPr>
        <b/>
        <u val="single"/>
        <sz val="10"/>
        <rFont val="Arial"/>
        <family val="2"/>
      </rPr>
      <t xml:space="preserve"> that year</t>
    </r>
    <r>
      <rPr>
        <sz val="10"/>
        <rFont val="Arial"/>
        <family val="0"/>
      </rPr>
      <t>, consistent with all assumptions entered in the yellow-masked cells.</t>
    </r>
  </si>
  <si>
    <t>Higher prices for gasoline make purchase of hybrid cars easier to justify.</t>
  </si>
  <si>
    <t>Opp.Cost of down/purch.</t>
  </si>
  <si>
    <t>Payment for Car (P+I)</t>
  </si>
  <si>
    <t>The discount rate entered in cell C19 reflects the time preference you have for money or the opportunities you expect in rate of return of this investment.</t>
  </si>
  <si>
    <t>Check with your car dealer about the cost of battery service/replacement assumed in year eight. Some car-makers offer warranties on their battery packs up to 100,000 miles.</t>
  </si>
  <si>
    <t>It is prudent to expect gasoline to cost more in the future due to emissions permit fees that may be charged on the Greenhouse Gases (GHG) that will be emitted from use of the gasoline.  Consider the gasoline prices in Europe.</t>
  </si>
  <si>
    <t>Accumulated Disc. Costs</t>
  </si>
  <si>
    <t>Electric Vehicle</t>
  </si>
  <si>
    <t>Electricity Purchases</t>
  </si>
  <si>
    <t>Electric</t>
  </si>
  <si>
    <t xml:space="preserve">Electric </t>
  </si>
  <si>
    <t xml:space="preserve">Avg.Price </t>
  </si>
  <si>
    <t>Gasoline</t>
  </si>
  <si>
    <t>Electricity</t>
  </si>
  <si>
    <t>M/kWh</t>
  </si>
  <si>
    <t>Extended Range Electric</t>
  </si>
  <si>
    <t xml:space="preserve">Extended </t>
  </si>
  <si>
    <t>Fuel Price for Year One</t>
  </si>
  <si>
    <t>Fuel Price Inflation Rate</t>
  </si>
  <si>
    <t>Gasoline Engine Maintenance</t>
  </si>
  <si>
    <t>Annual Grid Electricity Usage (kWh)</t>
  </si>
  <si>
    <t>Rationalization of Miles per Gallon of  Extended Range Electric (e.g. Volt)</t>
  </si>
  <si>
    <t>Share</t>
  </si>
  <si>
    <t>Spec. Gravity</t>
  </si>
  <si>
    <t xml:space="preserve">Gasoline </t>
  </si>
  <si>
    <t xml:space="preserve">Ethanol </t>
  </si>
  <si>
    <t>Spec. Gravity of E-10</t>
  </si>
  <si>
    <t>one Gallon of Water</t>
  </si>
  <si>
    <t>lb.</t>
  </si>
  <si>
    <t>one Gallon of E-10</t>
  </si>
  <si>
    <t>grams/lb.</t>
  </si>
  <si>
    <t>equals</t>
  </si>
  <si>
    <t>Brake Specific Fuel Consumption</t>
  </si>
  <si>
    <t>g/kWh at high load</t>
  </si>
  <si>
    <t>Generator Efficiency</t>
  </si>
  <si>
    <t>g/kWh at low load</t>
  </si>
  <si>
    <t>BSFC</t>
  </si>
  <si>
    <t>Effective  BSFC</t>
  </si>
  <si>
    <t>Approximate</t>
  </si>
  <si>
    <t>g./ gallon of E-10</t>
  </si>
  <si>
    <t>At times the driver may only command 25% of that for idling around through town.</t>
  </si>
  <si>
    <t xml:space="preserve">Gasoline Engine on Chevy Volt is estimated at 100 hp., so at full output it can deliver </t>
  </si>
  <si>
    <t>While cruising, engines often give out 50% of rated capacity (Wiikepedia)</t>
  </si>
  <si>
    <t>What should be the typical engine output?</t>
  </si>
  <si>
    <t>perhaps</t>
  </si>
  <si>
    <t>Avg. Fuel Consumption</t>
  </si>
  <si>
    <t>times</t>
  </si>
  <si>
    <t>g. /kWh</t>
  </si>
  <si>
    <t>Hourly Fuel Consumption</t>
  </si>
  <si>
    <t>grams</t>
  </si>
  <si>
    <t>grams/hr.</t>
  </si>
  <si>
    <t>Galllons/Hr.</t>
  </si>
  <si>
    <t>Miles Driven</t>
  </si>
  <si>
    <t>Mpg</t>
  </si>
  <si>
    <t>kW/ hr</t>
  </si>
  <si>
    <t>avg. efficiency</t>
  </si>
  <si>
    <t>Example Miles Driven</t>
  </si>
  <si>
    <t>Resulting Mpg</t>
  </si>
  <si>
    <t>Percent of Max. Output</t>
  </si>
  <si>
    <t>Estimated Effective BSFC</t>
  </si>
  <si>
    <t>BSFC at high efficiency (g/KWh)</t>
  </si>
  <si>
    <t>kwh</t>
  </si>
  <si>
    <t>gal</t>
  </si>
  <si>
    <t>Ext. Range Electric</t>
  </si>
  <si>
    <t>15 Yr. AVG</t>
  </si>
  <si>
    <t>Electricity Price Based on Inflation Rate</t>
  </si>
  <si>
    <t>Maint.</t>
  </si>
  <si>
    <t>Engine Maint. Costs(3kmiles) Based on Inflation Rate of</t>
  </si>
  <si>
    <t>AVG.</t>
  </si>
  <si>
    <t>Year 1</t>
  </si>
  <si>
    <t>Rate</t>
  </si>
  <si>
    <t>Annual GHG Emissions</t>
  </si>
  <si>
    <t xml:space="preserve">Conventional  </t>
  </si>
  <si>
    <t xml:space="preserve">Hybrid </t>
  </si>
  <si>
    <t>% of Conventional</t>
  </si>
  <si>
    <t>Extednded Range Electric Miles/Gal.</t>
  </si>
  <si>
    <t>Miles on Grid</t>
  </si>
  <si>
    <t>Yr. 15 Discounted Costs</t>
  </si>
  <si>
    <t>This is what I concluded for the BSFC</t>
  </si>
  <si>
    <t>Ext. Range Elect.</t>
  </si>
  <si>
    <t>Price Mark-up for Premium Gasoline</t>
  </si>
  <si>
    <t>GHG Emissions per Gallon of E10</t>
  </si>
  <si>
    <t>GHG Emissions per MWH</t>
  </si>
  <si>
    <t>lb of CO2 equiv. per gallon</t>
  </si>
  <si>
    <t>Tons of CO2 equiv. per MWh</t>
  </si>
  <si>
    <t>CO2 Tax per Ton</t>
  </si>
  <si>
    <t>CO2 Tax Paid on Gasoline</t>
  </si>
  <si>
    <t>CO2 Tax on Electricity Purchased</t>
  </si>
  <si>
    <t>Pounds per MWh</t>
  </si>
  <si>
    <t>Residential</t>
  </si>
  <si>
    <t>Census Division State</t>
  </si>
  <si>
    <t>Number of Consumers</t>
  </si>
  <si>
    <t>Average Monthly Consumption (kWh)</t>
  </si>
  <si>
    <t>Average Retail Price (Cents per Kilowatthour)</t>
  </si>
  <si>
    <t>Average Monthly Bill (Dollar and cents)</t>
  </si>
  <si>
    <t>New England</t>
  </si>
  <si>
    <t>Connecticut</t>
  </si>
  <si>
    <t>Maine      </t>
  </si>
  <si>
    <t>Massachusetts</t>
  </si>
  <si>
    <t>New Hampshire</t>
  </si>
  <si>
    <t>Rhode Island </t>
  </si>
  <si>
    <t>Vermont    </t>
  </si>
  <si>
    <t>Middle Atlantic</t>
  </si>
  <si>
    <t>New Jersey </t>
  </si>
  <si>
    <t>New York   </t>
  </si>
  <si>
    <t>Pennsylvania </t>
  </si>
  <si>
    <t>East North Central</t>
  </si>
  <si>
    <t>Illinois   </t>
  </si>
  <si>
    <t>Indiana    </t>
  </si>
  <si>
    <t>Michigan   </t>
  </si>
  <si>
    <t>Ohio       </t>
  </si>
  <si>
    <t>Wisconsin  </t>
  </si>
  <si>
    <t>West North Central</t>
  </si>
  <si>
    <t>Iowa       </t>
  </si>
  <si>
    <t>Kansas     </t>
  </si>
  <si>
    <t>Minnesota  </t>
  </si>
  <si>
    <t>Missouri   </t>
  </si>
  <si>
    <t>Nebraska   </t>
  </si>
  <si>
    <t>North Dakota </t>
  </si>
  <si>
    <t>South Dakota </t>
  </si>
  <si>
    <t>South Atlantic </t>
  </si>
  <si>
    <t>Delaware   </t>
  </si>
  <si>
    <t>District of Columbia</t>
  </si>
  <si>
    <t>Florida    </t>
  </si>
  <si>
    <t>Georgia    </t>
  </si>
  <si>
    <t>Maryland   </t>
  </si>
  <si>
    <t>North Carolina </t>
  </si>
  <si>
    <t>South Carolina </t>
  </si>
  <si>
    <t>Virginia   </t>
  </si>
  <si>
    <t>West Virginia</t>
  </si>
  <si>
    <t>East South Central</t>
  </si>
  <si>
    <t>Alabama    </t>
  </si>
  <si>
    <t>Kentucky   </t>
  </si>
  <si>
    <t>Mississippi</t>
  </si>
  <si>
    <t>Tennessee  </t>
  </si>
  <si>
    <t>West South Central</t>
  </si>
  <si>
    <t>Arkansas   </t>
  </si>
  <si>
    <t>Louisiana  </t>
  </si>
  <si>
    <t>Oklahoma   </t>
  </si>
  <si>
    <t>Texas      </t>
  </si>
  <si>
    <t>Mountain   </t>
  </si>
  <si>
    <t>Arizona    </t>
  </si>
  <si>
    <t>Colorado   </t>
  </si>
  <si>
    <t>Idaho      </t>
  </si>
  <si>
    <t>Montana    </t>
  </si>
  <si>
    <t>Nevada     </t>
  </si>
  <si>
    <t>New Mexico </t>
  </si>
  <si>
    <t>Utah       </t>
  </si>
  <si>
    <t>Wyoming    </t>
  </si>
  <si>
    <t>Pacific Contiguous</t>
  </si>
  <si>
    <t>California </t>
  </si>
  <si>
    <t>Oregon     </t>
  </si>
  <si>
    <t>Washington </t>
  </si>
  <si>
    <t>Pacific Noncontiguous</t>
  </si>
  <si>
    <t>Alaska     </t>
  </si>
  <si>
    <t>Hawaii     </t>
  </si>
  <si>
    <t>U.S. Total </t>
  </si>
  <si>
    <t>Table 5. Residential Average Monthly Bill by Census Division, and State</t>
  </si>
  <si>
    <t> Date of Latest Data: 2009</t>
  </si>
  <si>
    <t>  Report Released: November 2010</t>
  </si>
  <si>
    <t>  Next Release Date: November 2011</t>
  </si>
  <si>
    <t>http://www.eia.doe.gov/cneaf/electricity/esr/table5.html</t>
  </si>
  <si>
    <t>http://www.epa.gov/cleanenergy/documents/egridzips/eGRID2010V1_0_year07_SummaryTables.pdf</t>
  </si>
  <si>
    <t>Year 2007 eGRID Subregion Emissions - Greenhouse Gases</t>
  </si>
  <si>
    <t>Source:</t>
  </si>
  <si>
    <t>10% ethanol blend is most gasoline</t>
  </si>
  <si>
    <t>Gasoline is 92g CO2e/MJ X 121 MJ/gal = 24.52 lb CO2e/gal</t>
  </si>
  <si>
    <t>Therefore, E10 equals 22.89 lb CO2e/gal</t>
  </si>
  <si>
    <t>Ethanol is 42g CO2e/MJ X 89 MJ/gal = 8.23 lb CO2e/gal</t>
  </si>
  <si>
    <t>(Liska et al., Journal of Industrial Ecology, 13,58-74 (2009)</t>
  </si>
  <si>
    <t>Alternative vehicle decision tool</t>
  </si>
  <si>
    <t>Down payment (if financed) or total purchase price</t>
  </si>
  <si>
    <t>Months of car loan</t>
  </si>
  <si>
    <t>Interest rate on car loan</t>
  </si>
  <si>
    <t>Cost of battery service assumed in year 8</t>
  </si>
  <si>
    <t>Miles per gallon of gasoline</t>
  </si>
  <si>
    <t xml:space="preserve">Miles per kilowatt-hour of electricity </t>
  </si>
  <si>
    <t>Expected miles per year</t>
  </si>
  <si>
    <t>Annual miles from grid electricity (less or equal to above figure)</t>
  </si>
  <si>
    <t>Car pricing and performance assumptions</t>
  </si>
  <si>
    <t>Income tax credits for hybrid, electric, and charging station</t>
  </si>
  <si>
    <t>Gasoline and electricity prices, greenhouse gas (GHG) emissions rates, and discount rate</t>
  </si>
  <si>
    <t>Gasoline (E10) price for life of car</t>
  </si>
  <si>
    <t>(Affects fuel cost of extended range electric only)</t>
  </si>
  <si>
    <t>Electricity price (grid) per kWh for life of car</t>
  </si>
  <si>
    <t xml:space="preserve">Gas engine maintenance per 3000 miles </t>
  </si>
  <si>
    <t>Personal discount rate applied to costs</t>
  </si>
  <si>
    <t>GHG emissions per MWh of electicity (tons)</t>
  </si>
  <si>
    <t>GHG emission per gallon of gasoline (E10)</t>
  </si>
  <si>
    <t>Pounds per gallon</t>
  </si>
  <si>
    <t>(See ElectricGHG tab below)</t>
  </si>
  <si>
    <t>Monthly payments, gas usage and GHG emissions in first five years</t>
  </si>
  <si>
    <t>Monthly car payments (if financed)</t>
  </si>
  <si>
    <t>Monthly opportunity cost of down payment or purchase</t>
  </si>
  <si>
    <t>Average monthly gasoline payments</t>
  </si>
  <si>
    <t>Average monthly engine maintenance costs</t>
  </si>
  <si>
    <t>Average monthly electrical payments</t>
  </si>
  <si>
    <t>Monthly costs (ownership, fuel, engine maintenance)</t>
  </si>
  <si>
    <t>Difference in monthly payments in first 5 years vs. conventional</t>
  </si>
  <si>
    <t>Annual gasoline usage (gal.)</t>
  </si>
  <si>
    <t>Annual electricity usage from grid (kWh)</t>
  </si>
  <si>
    <t>Annual GHG emissions from gasoline usage (lb. of CO2 equiv.)</t>
  </si>
  <si>
    <t>Annual GHG emissions of electricity source (lb. of CO2 equiv.)</t>
  </si>
  <si>
    <t>Total Annual GHG emissions (lb. of CO2 equivalent)</t>
  </si>
  <si>
    <t>Annual GHG reduction in metric tonnes per year</t>
  </si>
  <si>
    <t>Effective CO2 tax charged to self by owning alternative vehicle per metric tonne</t>
  </si>
  <si>
    <t>Conventional  vehicle</t>
  </si>
  <si>
    <t>Hybrid vehicle</t>
  </si>
  <si>
    <t>Electric vehicle</t>
  </si>
  <si>
    <t>Extended range electric</t>
  </si>
  <si>
    <t>kWhe of Output</t>
  </si>
  <si>
    <t>Negotiated Purchase Price (plus charging station)</t>
  </si>
  <si>
    <t xml:space="preserve">Additional cost of premium gasoline per gallon </t>
  </si>
  <si>
    <t>Annual greenhouse gas (GHG) emissions</t>
  </si>
  <si>
    <r>
      <t>Enter appropriate values in the yellow cells. As you enter your data, note on the graph which type of vehicle has low accumulated discount costs in a particular year of operation (the lower line means cheaper). This spreadsheet is designed for sensitivity analysis</t>
    </r>
    <r>
      <rPr>
        <sz val="12"/>
        <rFont val="Calibri"/>
        <family val="2"/>
      </rPr>
      <t>—changing variables to determine the effects of these changes. Try different v</t>
    </r>
    <r>
      <rPr>
        <sz val="12"/>
        <rFont val="Calibri"/>
        <family val="2"/>
      </rPr>
      <t>alues in the yellow cells, such as purchase price of the vehicle and how many miles you expect to drive per year, and see what effect they have on cost and greenhouse gas (GHG) emissions.</t>
    </r>
  </si>
  <si>
    <t>University of Minnesota Extension is an equal opportunity educator and employer. In accordance with the Americans with Disabilities Act, this material is available in alternative formats upon request. Direct requests to Douglas Tiffany, University of Minnesota Extension educator, at 612-625-6715. Reviewed October 2011. The "Alternative vehicle decision tool" Excel spreadsheet was downloaded from "Should I buy an alternative vehicle?" at extension.umn.edu/energy/vehicle.</t>
  </si>
  <si>
    <t>© 2011, Regents of the University of Minnesota. All rights reserved. Send copyright permission inquiries to: Copyright Coordinator, University of Minnesota Extension, 405 Coffey Hall, 1420 Eckles Avenue, St. Paul, MN 55108-6068. Email to extcopy@umn.edu or fax to 612-625-3967.</t>
  </si>
  <si>
    <r>
      <t xml:space="preserve">This tool downloaded from the University of Minnesota Extension publication, Should I buy an alternative vehicle?, at </t>
    </r>
    <r>
      <rPr>
        <b/>
        <sz val="12"/>
        <rFont val="Calibri"/>
        <family val="2"/>
      </rPr>
      <t>extension.umn.edu/energy/vehicle</t>
    </r>
    <r>
      <rPr>
        <sz val="12"/>
        <rFont val="Calibri"/>
        <family val="2"/>
      </rPr>
      <t>.</t>
    </r>
  </si>
</sst>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_);_(&quot;$&quot;* \(#,##0.000\);_(&quot;$&quot;* &quot;-&quot;??_);_(@_)"/>
    <numFmt numFmtId="165" formatCode="_(&quot;$&quot;* #,##0.0_);_(&quot;$&quot;* \(#,##0.0\);_(&quot;$&quot;* &quot;-&quot;??_);_(@_)"/>
    <numFmt numFmtId="166" formatCode="_(&quot;$&quot;* #,##0_);_(&quot;$&quot;* \(#,##0\);_(&quot;$&quot;* &quot;-&quot;??_);_(@_)"/>
    <numFmt numFmtId="167" formatCode="_(* #,##0.000_);_(* \(#,##0.000\);_(* &quot;-&quot;??_);_(@_)"/>
    <numFmt numFmtId="168" formatCode="_(* #,##0.0_);_(* \(#,##0.0\);_(* &quot;-&quot;??_);_(@_)"/>
    <numFmt numFmtId="169" formatCode="_(* #,##0_);_(* \(#,##0\);_(* &quot;-&quot;??_);_(@_)"/>
    <numFmt numFmtId="170" formatCode="0.0"/>
    <numFmt numFmtId="171" formatCode="&quot;$&quot;#,##0"/>
    <numFmt numFmtId="172" formatCode="0.00000"/>
    <numFmt numFmtId="173" formatCode="0.0000"/>
    <numFmt numFmtId="174" formatCode="0.000"/>
    <numFmt numFmtId="175" formatCode="&quot;$&quot;#,##0.0_);\(&quot;$&quot;#,##0.0\)"/>
    <numFmt numFmtId="176" formatCode="0.0000000"/>
    <numFmt numFmtId="177" formatCode="0.000000"/>
    <numFmt numFmtId="178" formatCode="0.0000000000"/>
    <numFmt numFmtId="179" formatCode="0.00000000000"/>
    <numFmt numFmtId="180" formatCode="0.000000000"/>
    <numFmt numFmtId="181" formatCode="0.00000000"/>
    <numFmt numFmtId="182" formatCode="_(&quot;$&quot;* #,##0.000_);_(&quot;$&quot;* \(#,##0.000\);_(&quot;$&quot;* &quot;-&quot;???_);_(@_)"/>
    <numFmt numFmtId="183" formatCode="_(&quot;$&quot;* #,##0.0000_);_(&quot;$&quot;* \(#,##0.0000\);_(&quot;$&quot;* &quot;-&quot;??_);_(@_)"/>
    <numFmt numFmtId="184" formatCode="_(&quot;$&quot;* #,##0.00000_);_(&quot;$&quot;* \(#,##0.00000\);_(&quot;$&quot;* &quot;-&quot;??_);_(@_)"/>
    <numFmt numFmtId="185" formatCode="_(&quot;$&quot;* #,##0.000000_);_(&quot;$&quot;* \(#,##0.000000\);_(&quot;$&quot;* &quot;-&quot;??_);_(@_)"/>
    <numFmt numFmtId="186" formatCode="_(&quot;$&quot;* #,##0.0000000_);_(&quot;$&quot;* \(#,##0.0000000\);_(&quot;$&quot;* &quot;-&quot;??_);_(@_)"/>
    <numFmt numFmtId="187" formatCode="0.0%"/>
    <numFmt numFmtId="188" formatCode="0.000%"/>
    <numFmt numFmtId="189" formatCode="0.0000%"/>
    <numFmt numFmtId="190" formatCode="0.00000%"/>
    <numFmt numFmtId="191" formatCode="_(\$* #,##0_);_(\$* \(#,##0\);_(\$* &quot;-&quot;??_);_(@_)"/>
    <numFmt numFmtId="192" formatCode="&quot;$&quot;#,##0.00"/>
    <numFmt numFmtId="193" formatCode="&quot;$&quot;#,##0.000_);[Red]\(&quot;$&quot;#,##0.000\)"/>
    <numFmt numFmtId="194" formatCode="_(* #,##0.0_);_(* \(#,##0.0\);_(* &quot;-&quot;?_);_(@_)"/>
    <numFmt numFmtId="195" formatCode="#,##0.0_);\(#,##0.0\)"/>
    <numFmt numFmtId="196" formatCode="0_);\(0\)"/>
    <numFmt numFmtId="197" formatCode="[$-409]dddd\,\ mmmm\ dd\,\ yyyy"/>
    <numFmt numFmtId="198" formatCode="[$-409]h:mm:ss\ AM/PM"/>
    <numFmt numFmtId="199" formatCode="00000"/>
    <numFmt numFmtId="200" formatCode="#,##0.0"/>
    <numFmt numFmtId="201" formatCode="_(* #,##0.0000_);_(* \(#,##0.0000\);_(* &quot;-&quot;??_);_(@_)"/>
    <numFmt numFmtId="202" formatCode="_(* #,##0.000_);_(* \(#,##0.000\);_(* &quot;-&quot;???_);_(@_)"/>
    <numFmt numFmtId="203" formatCode="&quot;Yes&quot;;&quot;Yes&quot;;&quot;No&quot;"/>
    <numFmt numFmtId="204" formatCode="&quot;True&quot;;&quot;True&quot;;&quot;False&quot;"/>
    <numFmt numFmtId="205" formatCode="&quot;On&quot;;&quot;On&quot;;&quot;Off&quot;"/>
    <numFmt numFmtId="206" formatCode="[$€-2]\ #,##0.00_);[Red]\([$€-2]\ #,##0.00\)"/>
    <numFmt numFmtId="207" formatCode="&quot;$&quot;#,##0.0000_);[Red]\(&quot;$&quot;#,##0.0000\)"/>
  </numFmts>
  <fonts count="97">
    <font>
      <sz val="10"/>
      <name val="Arial"/>
      <family val="0"/>
    </font>
    <font>
      <b/>
      <sz val="12"/>
      <name val="Arial"/>
      <family val="2"/>
    </font>
    <font>
      <sz val="8"/>
      <name val="Arial"/>
      <family val="0"/>
    </font>
    <font>
      <b/>
      <sz val="10"/>
      <name val="Arial"/>
      <family val="2"/>
    </font>
    <font>
      <b/>
      <sz val="14"/>
      <name val="Arial"/>
      <family val="2"/>
    </font>
    <font>
      <b/>
      <u val="single"/>
      <sz val="10"/>
      <name val="Arial"/>
      <family val="2"/>
    </font>
    <font>
      <sz val="11"/>
      <name val="Arial"/>
      <family val="0"/>
    </font>
    <font>
      <sz val="11"/>
      <color indexed="8"/>
      <name val="Calibri"/>
      <family val="2"/>
    </font>
    <font>
      <sz val="11"/>
      <color indexed="9"/>
      <name val="Calibri"/>
      <family val="2"/>
    </font>
    <font>
      <b/>
      <sz val="11"/>
      <color indexed="52"/>
      <name val="Calibri"/>
      <family val="2"/>
    </font>
    <font>
      <b/>
      <sz val="11"/>
      <color indexed="63"/>
      <name val="Calibri"/>
      <family val="2"/>
    </font>
    <font>
      <b/>
      <sz val="11"/>
      <color indexed="8"/>
      <name val="Calibri"/>
      <family val="2"/>
    </font>
    <font>
      <sz val="10"/>
      <color indexed="8"/>
      <name val="Calibri"/>
      <family val="2"/>
    </font>
    <font>
      <sz val="11"/>
      <color indexed="14"/>
      <name val="Calibri"/>
      <family val="2"/>
    </font>
    <font>
      <b/>
      <sz val="15"/>
      <color indexed="62"/>
      <name val="Calibri"/>
      <family val="2"/>
    </font>
    <font>
      <b/>
      <sz val="13"/>
      <color indexed="62"/>
      <name val="Calibri"/>
      <family val="2"/>
    </font>
    <font>
      <b/>
      <sz val="11"/>
      <color indexed="62"/>
      <name val="Calibri"/>
      <family val="2"/>
    </font>
    <font>
      <sz val="10"/>
      <name val="Verdana"/>
      <family val="2"/>
    </font>
    <font>
      <b/>
      <sz val="18"/>
      <color indexed="62"/>
      <name val="Cambria"/>
      <family val="2"/>
    </font>
    <font>
      <sz val="12"/>
      <name val="Calibri"/>
      <family val="2"/>
    </font>
    <font>
      <b/>
      <sz val="12"/>
      <name val="Calibri"/>
      <family val="2"/>
    </font>
    <font>
      <u val="single"/>
      <sz val="10"/>
      <name val="Arial"/>
      <family val="2"/>
    </font>
    <font>
      <b/>
      <sz val="10"/>
      <color indexed="8"/>
      <name val="Calibri"/>
      <family val="0"/>
    </font>
    <font>
      <sz val="11"/>
      <color indexed="20"/>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20"/>
      <name val="Calibri"/>
      <family val="2"/>
    </font>
    <font>
      <b/>
      <sz val="13"/>
      <color indexed="20"/>
      <name val="Calibri"/>
      <family val="2"/>
    </font>
    <font>
      <b/>
      <sz val="11"/>
      <color indexed="20"/>
      <name val="Calibri"/>
      <family val="2"/>
    </font>
    <font>
      <u val="single"/>
      <sz val="10"/>
      <color indexed="12"/>
      <name val="Arial"/>
      <family val="0"/>
    </font>
    <font>
      <u val="single"/>
      <sz val="10"/>
      <color indexed="12"/>
      <name val="Calibri"/>
      <family val="2"/>
    </font>
    <font>
      <sz val="11"/>
      <color indexed="62"/>
      <name val="Calibri"/>
      <family val="2"/>
    </font>
    <font>
      <sz val="11"/>
      <color indexed="52"/>
      <name val="Calibri"/>
      <family val="2"/>
    </font>
    <font>
      <sz val="11"/>
      <color indexed="60"/>
      <name val="Calibri"/>
      <family val="2"/>
    </font>
    <font>
      <b/>
      <sz val="18"/>
      <color indexed="20"/>
      <name val="Cambria"/>
      <family val="2"/>
    </font>
    <font>
      <sz val="11"/>
      <color indexed="10"/>
      <name val="Calibri"/>
      <family val="2"/>
    </font>
    <font>
      <sz val="10"/>
      <name val="Calibri"/>
      <family val="2"/>
    </font>
    <font>
      <b/>
      <sz val="18"/>
      <color indexed="13"/>
      <name val="Calibri"/>
      <family val="2"/>
    </font>
    <font>
      <sz val="11"/>
      <name val="Calibri"/>
      <family val="2"/>
    </font>
    <font>
      <sz val="9"/>
      <name val="Calibri"/>
      <family val="2"/>
    </font>
    <font>
      <b/>
      <sz val="9"/>
      <name val="Calibri"/>
      <family val="2"/>
    </font>
    <font>
      <sz val="9"/>
      <color indexed="9"/>
      <name val="Calibri"/>
      <family val="2"/>
    </font>
    <font>
      <b/>
      <sz val="9"/>
      <color indexed="9"/>
      <name val="Calibri"/>
      <family val="2"/>
    </font>
    <font>
      <sz val="10"/>
      <color indexed="9"/>
      <name val="Calibri"/>
      <family val="2"/>
    </font>
    <font>
      <b/>
      <sz val="16"/>
      <color indexed="51"/>
      <name val="Calibri"/>
      <family val="2"/>
    </font>
    <font>
      <b/>
      <sz val="12"/>
      <color indexed="51"/>
      <name val="Calibri"/>
      <family val="2"/>
    </font>
    <font>
      <sz val="10"/>
      <color indexed="51"/>
      <name val="Calibri"/>
      <family val="2"/>
    </font>
    <font>
      <sz val="18"/>
      <color indexed="51"/>
      <name val="Arial"/>
      <family val="2"/>
    </font>
    <font>
      <b/>
      <sz val="10"/>
      <name val="Calibri"/>
      <family val="2"/>
    </font>
    <font>
      <b/>
      <sz val="10"/>
      <color indexed="9"/>
      <name val="Arial"/>
      <family val="2"/>
    </font>
    <font>
      <sz val="10"/>
      <color indexed="9"/>
      <name val="Arial"/>
      <family val="2"/>
    </font>
    <font>
      <b/>
      <sz val="11"/>
      <name val="Calibri"/>
      <family val="2"/>
    </font>
    <font>
      <sz val="14"/>
      <name val="Calibri"/>
      <family val="2"/>
    </font>
    <font>
      <sz val="14"/>
      <color indexed="53"/>
      <name val="Calibri"/>
      <family val="2"/>
    </font>
    <font>
      <sz val="8"/>
      <name val="Calibri"/>
      <family val="2"/>
    </font>
    <font>
      <b/>
      <sz val="14"/>
      <color indexed="8"/>
      <name val="Calibri"/>
      <family val="2"/>
    </font>
    <font>
      <b/>
      <i/>
      <sz val="8"/>
      <color indexed="23"/>
      <name val="Calibri"/>
      <family val="2"/>
    </font>
    <font>
      <b/>
      <sz val="7"/>
      <name val="Calibri"/>
      <family val="2"/>
    </font>
    <font>
      <sz val="7"/>
      <name val="Calibri"/>
      <family val="2"/>
    </font>
    <font>
      <b/>
      <sz val="12"/>
      <color indexed="8"/>
      <name val="Calibri"/>
      <family val="2"/>
    </font>
    <font>
      <b/>
      <sz val="3"/>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u val="single"/>
      <sz val="10"/>
      <color theme="10"/>
      <name val="Calibri"/>
      <family val="2"/>
    </font>
    <font>
      <sz val="11"/>
      <color rgb="FF3F3F76"/>
      <name val="Calibri"/>
      <family val="2"/>
    </font>
    <font>
      <sz val="11"/>
      <color rgb="FFFA7D00"/>
      <name val="Calibri"/>
      <family val="2"/>
    </font>
    <font>
      <sz val="11"/>
      <color rgb="FF9C6500"/>
      <name val="Calibri"/>
      <family val="2"/>
    </font>
    <font>
      <sz val="10"/>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0"/>
      <name val="Calibri"/>
      <family val="2"/>
    </font>
    <font>
      <b/>
      <sz val="9"/>
      <color theme="0"/>
      <name val="Calibri"/>
      <family val="2"/>
    </font>
    <font>
      <sz val="10"/>
      <color theme="0"/>
      <name val="Calibri"/>
      <family val="2"/>
    </font>
    <font>
      <b/>
      <sz val="16"/>
      <color theme="2"/>
      <name val="Calibri"/>
      <family val="2"/>
    </font>
    <font>
      <b/>
      <sz val="12"/>
      <color theme="2"/>
      <name val="Calibri"/>
      <family val="2"/>
    </font>
    <font>
      <sz val="10"/>
      <color theme="2"/>
      <name val="Calibri"/>
      <family val="2"/>
    </font>
    <font>
      <sz val="18"/>
      <color theme="2"/>
      <name val="Arial"/>
      <family val="2"/>
    </font>
    <font>
      <b/>
      <sz val="10"/>
      <color theme="0"/>
      <name val="Arial"/>
      <family val="2"/>
    </font>
    <font>
      <sz val="10"/>
      <color theme="0"/>
      <name val="Arial"/>
      <family val="2"/>
    </font>
    <font>
      <sz val="14"/>
      <color rgb="FFEE7C3C"/>
      <name val="Calibri"/>
      <family val="2"/>
    </font>
    <font>
      <b/>
      <sz val="14"/>
      <color rgb="FF000000"/>
      <name val="Calibri"/>
      <family val="2"/>
    </font>
    <font>
      <b/>
      <i/>
      <sz val="8"/>
      <color rgb="FF666666"/>
      <name val="Calibri"/>
      <family val="2"/>
    </font>
    <font>
      <b/>
      <sz val="12"/>
      <color rgb="FF000000"/>
      <name val="Calibri"/>
      <family val="2"/>
    </font>
  </fonts>
  <fills count="60">
    <fill>
      <patternFill/>
    </fill>
    <fill>
      <patternFill patternType="gray125"/>
    </fill>
    <fill>
      <patternFill patternType="solid">
        <fgColor theme="4" tint="0.7999799847602844"/>
        <bgColor indexed="64"/>
      </patternFill>
    </fill>
    <fill>
      <patternFill patternType="solid">
        <fgColor indexed="9"/>
        <bgColor indexed="64"/>
      </patternFill>
    </fill>
    <fill>
      <patternFill patternType="solid">
        <fgColor theme="5" tint="0.7999799847602844"/>
        <bgColor indexed="64"/>
      </patternFill>
    </fill>
    <fill>
      <patternFill patternType="solid">
        <fgColor indexed="47"/>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indexed="19"/>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45"/>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2"/>
        <bgColor indexed="64"/>
      </patternFill>
    </fill>
    <fill>
      <patternFill patternType="solid">
        <fgColor indexed="8"/>
        <bgColor indexed="64"/>
      </patternFill>
    </fill>
    <fill>
      <patternFill patternType="solid">
        <fgColor indexed="11"/>
        <bgColor indexed="64"/>
      </patternFill>
    </fill>
    <fill>
      <patternFill patternType="solid">
        <fgColor indexed="31"/>
        <bgColor indexed="64"/>
      </patternFill>
    </fill>
    <fill>
      <patternFill patternType="solid">
        <fgColor indexed="15"/>
        <bgColor indexed="64"/>
      </patternFill>
    </fill>
    <fill>
      <patternFill patternType="solid">
        <fgColor indexed="52"/>
        <bgColor indexed="64"/>
      </patternFill>
    </fill>
    <fill>
      <patternFill patternType="solid">
        <fgColor indexed="53"/>
        <bgColor indexed="64"/>
      </patternFill>
    </fill>
    <fill>
      <patternFill patternType="solid">
        <fgColor indexed="44"/>
        <bgColor indexed="64"/>
      </patternFill>
    </fill>
    <fill>
      <patternFill patternType="solid">
        <fgColor indexed="51"/>
        <bgColor indexed="64"/>
      </patternFill>
    </fill>
    <fill>
      <patternFill patternType="solid">
        <fgColor theme="0"/>
        <bgColor indexed="64"/>
      </patternFill>
    </fill>
    <fill>
      <patternFill patternType="solid">
        <fgColor theme="0" tint="-0.1499900072813034"/>
        <bgColor indexed="64"/>
      </patternFill>
    </fill>
    <fill>
      <patternFill patternType="solid">
        <fgColor theme="3"/>
        <bgColor indexed="64"/>
      </patternFill>
    </fill>
    <fill>
      <patternFill patternType="solid">
        <fgColor rgb="FFA0754A"/>
        <bgColor indexed="64"/>
      </patternFill>
    </fill>
    <fill>
      <patternFill patternType="solid">
        <fgColor rgb="FFFF0000"/>
        <bgColor indexed="64"/>
      </patternFill>
    </fill>
    <fill>
      <patternFill patternType="solid">
        <fgColor rgb="FFDBDBDB"/>
        <bgColor indexed="64"/>
      </patternFill>
    </fill>
    <fill>
      <patternFill patternType="solid">
        <fgColor rgb="FFF7F7FC"/>
        <bgColor indexed="64"/>
      </patternFill>
    </fill>
    <fill>
      <patternFill patternType="solid">
        <fgColor theme="0" tint="-0.0499799996614456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right/>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right/>
      <top/>
      <bottom style="medium">
        <color indexed="49"/>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right/>
      <top style="thin">
        <color indexed="49"/>
      </top>
      <bottom style="double">
        <color indexed="49"/>
      </botto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s>
  <cellStyleXfs count="10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7" fillId="3" borderId="0" applyNumberFormat="0" applyBorder="0" applyAlignment="0" applyProtection="0"/>
    <xf numFmtId="0" fontId="63" fillId="4" borderId="0" applyNumberFormat="0" applyBorder="0" applyAlignment="0" applyProtection="0"/>
    <xf numFmtId="0" fontId="7" fillId="5" borderId="0" applyNumberFormat="0" applyBorder="0" applyAlignment="0" applyProtection="0"/>
    <xf numFmtId="0" fontId="63" fillId="6" borderId="0" applyNumberFormat="0" applyBorder="0" applyAlignment="0" applyProtection="0"/>
    <xf numFmtId="0" fontId="7" fillId="7" borderId="0" applyNumberFormat="0" applyBorder="0" applyAlignment="0" applyProtection="0"/>
    <xf numFmtId="0" fontId="63" fillId="8" borderId="0" applyNumberFormat="0" applyBorder="0" applyAlignment="0" applyProtection="0"/>
    <xf numFmtId="0" fontId="7" fillId="3"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7" fillId="12"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7" fillId="15" borderId="0" applyNumberFormat="0" applyBorder="0" applyAlignment="0" applyProtection="0"/>
    <xf numFmtId="0" fontId="63" fillId="16" borderId="0" applyNumberFormat="0" applyBorder="0" applyAlignment="0" applyProtection="0"/>
    <xf numFmtId="0" fontId="7" fillId="12"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7" fillId="5" borderId="0" applyNumberFormat="0" applyBorder="0" applyAlignment="0" applyProtection="0"/>
    <xf numFmtId="0" fontId="64" fillId="19" borderId="0" applyNumberFormat="0" applyBorder="0" applyAlignment="0" applyProtection="0"/>
    <xf numFmtId="0" fontId="8"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8" fillId="15" borderId="0" applyNumberFormat="0" applyBorder="0" applyAlignment="0" applyProtection="0"/>
    <xf numFmtId="0" fontId="64" fillId="23" borderId="0" applyNumberFormat="0" applyBorder="0" applyAlignment="0" applyProtection="0"/>
    <xf numFmtId="0" fontId="8" fillId="12"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8" fillId="5" borderId="0" applyNumberFormat="0" applyBorder="0" applyAlignment="0" applyProtection="0"/>
    <xf numFmtId="0" fontId="64" fillId="26" borderId="0" applyNumberFormat="0" applyBorder="0" applyAlignment="0" applyProtection="0"/>
    <xf numFmtId="0" fontId="8" fillId="20" borderId="0" applyNumberFormat="0" applyBorder="0" applyAlignment="0" applyProtection="0"/>
    <xf numFmtId="0" fontId="64" fillId="27" borderId="0" applyNumberFormat="0" applyBorder="0" applyAlignment="0" applyProtection="0"/>
    <xf numFmtId="0" fontId="8" fillId="28" borderId="0" applyNumberFormat="0" applyBorder="0" applyAlignment="0" applyProtection="0"/>
    <xf numFmtId="0" fontId="64" fillId="29" borderId="0" applyNumberFormat="0" applyBorder="0" applyAlignment="0" applyProtection="0"/>
    <xf numFmtId="0" fontId="8" fillId="28" borderId="0" applyNumberFormat="0" applyBorder="0" applyAlignment="0" applyProtection="0"/>
    <xf numFmtId="0" fontId="64" fillId="30" borderId="0" applyNumberFormat="0" applyBorder="0" applyAlignment="0" applyProtection="0"/>
    <xf numFmtId="0" fontId="8"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5" fillId="34" borderId="0" applyNumberFormat="0" applyBorder="0" applyAlignment="0" applyProtection="0"/>
    <xf numFmtId="0" fontId="13" fillId="35" borderId="0" applyNumberFormat="0" applyBorder="0" applyAlignment="0" applyProtection="0"/>
    <xf numFmtId="0" fontId="66" fillId="36" borderId="1" applyNumberFormat="0" applyAlignment="0" applyProtection="0"/>
    <xf numFmtId="0" fontId="9" fillId="3" borderId="2" applyNumberFormat="0" applyAlignment="0" applyProtection="0"/>
    <xf numFmtId="0" fontId="67" fillId="3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38" borderId="0" applyNumberFormat="0" applyBorder="0" applyAlignment="0" applyProtection="0"/>
    <xf numFmtId="0" fontId="71" fillId="0" borderId="4" applyNumberFormat="0" applyFill="0" applyAlignment="0" applyProtection="0"/>
    <xf numFmtId="0" fontId="14" fillId="0" borderId="5" applyNumberFormat="0" applyFill="0" applyAlignment="0" applyProtection="0"/>
    <xf numFmtId="0" fontId="72" fillId="0" borderId="6" applyNumberFormat="0" applyFill="0" applyAlignment="0" applyProtection="0"/>
    <xf numFmtId="0" fontId="15" fillId="0" borderId="7" applyNumberFormat="0" applyFill="0" applyAlignment="0" applyProtection="0"/>
    <xf numFmtId="0" fontId="73" fillId="0" borderId="8" applyNumberFormat="0" applyFill="0" applyAlignment="0" applyProtection="0"/>
    <xf numFmtId="0" fontId="16" fillId="0" borderId="9" applyNumberFormat="0" applyFill="0" applyAlignment="0" applyProtection="0"/>
    <xf numFmtId="0" fontId="73" fillId="0" borderId="0" applyNumberFormat="0" applyFill="0" applyBorder="0" applyAlignment="0" applyProtection="0"/>
    <xf numFmtId="0" fontId="16"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39" borderId="1" applyNumberFormat="0" applyAlignment="0" applyProtection="0"/>
    <xf numFmtId="0" fontId="77" fillId="0" borderId="10" applyNumberFormat="0" applyFill="0" applyAlignment="0" applyProtection="0"/>
    <xf numFmtId="0" fontId="78" fillId="40" borderId="0" applyNumberFormat="0" applyBorder="0" applyAlignment="0" applyProtection="0"/>
    <xf numFmtId="0" fontId="0" fillId="0" borderId="0">
      <alignment/>
      <protection/>
    </xf>
    <xf numFmtId="0" fontId="0" fillId="0" borderId="0">
      <alignment/>
      <protection/>
    </xf>
    <xf numFmtId="0" fontId="17" fillId="0" borderId="0">
      <alignment/>
      <protection/>
    </xf>
    <xf numFmtId="0" fontId="0" fillId="0" borderId="0">
      <alignment/>
      <protection/>
    </xf>
    <xf numFmtId="0" fontId="79" fillId="0" borderId="0">
      <alignment/>
      <protection/>
    </xf>
    <xf numFmtId="0" fontId="79" fillId="0" borderId="0">
      <alignment/>
      <protection/>
    </xf>
    <xf numFmtId="0" fontId="0" fillId="41" borderId="11" applyNumberFormat="0" applyFont="0" applyAlignment="0" applyProtection="0"/>
    <xf numFmtId="0" fontId="7" fillId="7" borderId="12" applyNumberFormat="0" applyFont="0" applyAlignment="0" applyProtection="0"/>
    <xf numFmtId="0" fontId="80" fillId="36" borderId="13" applyNumberFormat="0" applyAlignment="0" applyProtection="0"/>
    <xf numFmtId="0" fontId="10" fillId="3" borderId="14"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81" fillId="0" borderId="0" applyNumberFormat="0" applyFill="0" applyBorder="0" applyAlignment="0" applyProtection="0"/>
    <xf numFmtId="0" fontId="18" fillId="0" borderId="0" applyNumberFormat="0" applyFill="0" applyBorder="0" applyAlignment="0" applyProtection="0"/>
    <xf numFmtId="0" fontId="82" fillId="0" borderId="15" applyNumberFormat="0" applyFill="0" applyAlignment="0" applyProtection="0"/>
    <xf numFmtId="0" fontId="11" fillId="0" borderId="16" applyNumberFormat="0" applyFill="0" applyAlignment="0" applyProtection="0"/>
    <xf numFmtId="0" fontId="83" fillId="0" borderId="0" applyNumberFormat="0" applyFill="0" applyBorder="0" applyAlignment="0" applyProtection="0"/>
  </cellStyleXfs>
  <cellXfs count="263">
    <xf numFmtId="0" fontId="0" fillId="0" borderId="0" xfId="0" applyAlignment="1">
      <alignment/>
    </xf>
    <xf numFmtId="0" fontId="1" fillId="0" borderId="0" xfId="0" applyFont="1" applyAlignment="1">
      <alignment/>
    </xf>
    <xf numFmtId="166" fontId="0" fillId="0" borderId="0" xfId="0" applyNumberFormat="1" applyAlignment="1">
      <alignment/>
    </xf>
    <xf numFmtId="0" fontId="0" fillId="0" borderId="0" xfId="0" applyAlignment="1">
      <alignment horizontal="right"/>
    </xf>
    <xf numFmtId="0" fontId="3" fillId="0" borderId="0" xfId="0" applyFont="1" applyAlignment="1">
      <alignment/>
    </xf>
    <xf numFmtId="0" fontId="0" fillId="0" borderId="0" xfId="0" applyAlignment="1">
      <alignment horizontal="left"/>
    </xf>
    <xf numFmtId="15" fontId="0" fillId="0" borderId="0" xfId="0" applyNumberFormat="1" applyAlignment="1">
      <alignment/>
    </xf>
    <xf numFmtId="0" fontId="4" fillId="0" borderId="0" xfId="0" applyFont="1" applyAlignment="1">
      <alignment/>
    </xf>
    <xf numFmtId="10" fontId="0" fillId="35" borderId="0" xfId="0" applyNumberFormat="1" applyFill="1" applyAlignment="1">
      <alignment/>
    </xf>
    <xf numFmtId="8" fontId="0" fillId="5" borderId="0" xfId="0" applyNumberFormat="1" applyFill="1" applyAlignment="1">
      <alignment/>
    </xf>
    <xf numFmtId="1" fontId="0" fillId="0" borderId="0" xfId="0" applyNumberFormat="1" applyAlignment="1">
      <alignment/>
    </xf>
    <xf numFmtId="169" fontId="0" fillId="0" borderId="0" xfId="0" applyNumberFormat="1" applyAlignment="1">
      <alignment/>
    </xf>
    <xf numFmtId="1" fontId="0" fillId="35" borderId="0" xfId="0" applyNumberFormat="1" applyFill="1" applyAlignment="1">
      <alignment/>
    </xf>
    <xf numFmtId="169" fontId="0" fillId="35" borderId="0" xfId="0" applyNumberFormat="1" applyFill="1" applyAlignment="1">
      <alignment/>
    </xf>
    <xf numFmtId="0" fontId="3" fillId="0" borderId="0" xfId="0" applyFont="1" applyAlignment="1">
      <alignment horizontal="center"/>
    </xf>
    <xf numFmtId="8" fontId="3" fillId="42" borderId="17" xfId="0" applyNumberFormat="1" applyFont="1" applyFill="1" applyBorder="1" applyAlignment="1">
      <alignment horizontal="center"/>
    </xf>
    <xf numFmtId="10" fontId="3" fillId="42" borderId="17" xfId="0" applyNumberFormat="1" applyFont="1" applyFill="1" applyBorder="1" applyAlignment="1">
      <alignment horizontal="center"/>
    </xf>
    <xf numFmtId="169" fontId="3" fillId="42" borderId="17" xfId="60" applyNumberFormat="1" applyFont="1" applyFill="1" applyBorder="1" applyAlignment="1">
      <alignment horizontal="center"/>
    </xf>
    <xf numFmtId="0" fontId="3" fillId="42" borderId="17" xfId="0" applyFont="1" applyFill="1" applyBorder="1" applyAlignment="1">
      <alignment horizontal="center"/>
    </xf>
    <xf numFmtId="166" fontId="3" fillId="42" borderId="17" xfId="63" applyNumberFormat="1" applyFont="1" applyFill="1" applyBorder="1" applyAlignment="1">
      <alignment/>
    </xf>
    <xf numFmtId="42" fontId="0" fillId="42" borderId="17" xfId="0" applyNumberFormat="1" applyFont="1" applyFill="1" applyBorder="1" applyAlignment="1">
      <alignment/>
    </xf>
    <xf numFmtId="169" fontId="3" fillId="43" borderId="0" xfId="0" applyNumberFormat="1" applyFont="1" applyFill="1" applyAlignment="1">
      <alignment/>
    </xf>
    <xf numFmtId="0" fontId="0" fillId="44" borderId="0" xfId="0" applyFill="1" applyAlignment="1">
      <alignment/>
    </xf>
    <xf numFmtId="8" fontId="3" fillId="35" borderId="17" xfId="0" applyNumberFormat="1" applyFont="1" applyFill="1" applyBorder="1" applyAlignment="1">
      <alignment/>
    </xf>
    <xf numFmtId="0" fontId="0" fillId="0" borderId="0" xfId="0" applyAlignment="1">
      <alignment horizontal="center"/>
    </xf>
    <xf numFmtId="166" fontId="0" fillId="0" borderId="0" xfId="63" applyNumberFormat="1" applyAlignment="1">
      <alignment/>
    </xf>
    <xf numFmtId="169" fontId="0" fillId="0" borderId="0" xfId="60" applyNumberFormat="1" applyAlignment="1">
      <alignment/>
    </xf>
    <xf numFmtId="44" fontId="0" fillId="5" borderId="0" xfId="63" applyFill="1" applyAlignment="1">
      <alignment/>
    </xf>
    <xf numFmtId="44" fontId="0" fillId="0" borderId="0" xfId="63" applyFont="1" applyAlignment="1">
      <alignment/>
    </xf>
    <xf numFmtId="0" fontId="3" fillId="0" borderId="17" xfId="0" applyFont="1" applyBorder="1" applyAlignment="1">
      <alignment/>
    </xf>
    <xf numFmtId="1" fontId="0" fillId="0" borderId="18" xfId="0" applyNumberFormat="1" applyBorder="1" applyAlignment="1">
      <alignment/>
    </xf>
    <xf numFmtId="10" fontId="0" fillId="0" borderId="19" xfId="0" applyNumberFormat="1" applyBorder="1" applyAlignment="1">
      <alignment/>
    </xf>
    <xf numFmtId="0" fontId="0" fillId="0" borderId="0" xfId="0" applyFill="1" applyAlignment="1">
      <alignment/>
    </xf>
    <xf numFmtId="0" fontId="0" fillId="45" borderId="0" xfId="0" applyFill="1" applyAlignment="1">
      <alignment/>
    </xf>
    <xf numFmtId="0" fontId="6" fillId="0" borderId="0" xfId="0" applyFont="1" applyFill="1" applyBorder="1" applyAlignment="1">
      <alignment wrapText="1"/>
    </xf>
    <xf numFmtId="190" fontId="0" fillId="0" borderId="0" xfId="91" applyNumberFormat="1" applyFont="1" applyAlignment="1">
      <alignment/>
    </xf>
    <xf numFmtId="44" fontId="0" fillId="0" borderId="0" xfId="63" applyFont="1" applyFill="1" applyAlignment="1">
      <alignment/>
    </xf>
    <xf numFmtId="0" fontId="0" fillId="46" borderId="0" xfId="0" applyFont="1" applyFill="1" applyAlignment="1">
      <alignment/>
    </xf>
    <xf numFmtId="0" fontId="0" fillId="46" borderId="0" xfId="0" applyFill="1" applyAlignment="1">
      <alignment/>
    </xf>
    <xf numFmtId="1" fontId="3" fillId="0" borderId="0" xfId="0" applyNumberFormat="1" applyFont="1" applyFill="1" applyBorder="1" applyAlignment="1" applyProtection="1">
      <alignment/>
      <protection hidden="1"/>
    </xf>
    <xf numFmtId="10" fontId="0" fillId="0" borderId="0" xfId="0" applyNumberFormat="1" applyFill="1" applyAlignment="1">
      <alignment/>
    </xf>
    <xf numFmtId="0" fontId="3" fillId="0" borderId="17" xfId="0" applyFont="1" applyFill="1" applyBorder="1" applyAlignment="1">
      <alignment/>
    </xf>
    <xf numFmtId="166" fontId="0" fillId="0" borderId="0" xfId="0" applyNumberFormat="1" applyFill="1" applyAlignment="1">
      <alignment/>
    </xf>
    <xf numFmtId="0" fontId="0" fillId="47" borderId="0" xfId="0" applyFill="1" applyAlignment="1">
      <alignment/>
    </xf>
    <xf numFmtId="10" fontId="0" fillId="0" borderId="19" xfId="0" applyNumberFormat="1" applyFill="1" applyBorder="1" applyAlignment="1">
      <alignment/>
    </xf>
    <xf numFmtId="8" fontId="0" fillId="45" borderId="0" xfId="0" applyNumberFormat="1" applyFill="1" applyAlignment="1">
      <alignment/>
    </xf>
    <xf numFmtId="10" fontId="0" fillId="45" borderId="0" xfId="0" applyNumberFormat="1" applyFill="1" applyAlignment="1">
      <alignment/>
    </xf>
    <xf numFmtId="193" fontId="0" fillId="0" borderId="0" xfId="0" applyNumberFormat="1" applyFill="1" applyAlignment="1">
      <alignment/>
    </xf>
    <xf numFmtId="193" fontId="0" fillId="43" borderId="0" xfId="63" applyNumberFormat="1" applyFill="1" applyAlignment="1">
      <alignment/>
    </xf>
    <xf numFmtId="169" fontId="0" fillId="47" borderId="0" xfId="0" applyNumberFormat="1" applyFill="1" applyAlignment="1">
      <alignment/>
    </xf>
    <xf numFmtId="0" fontId="0" fillId="0" borderId="0" xfId="0" applyFont="1" applyAlignment="1">
      <alignment/>
    </xf>
    <xf numFmtId="37" fontId="0" fillId="0" borderId="18" xfId="63" applyNumberFormat="1" applyFont="1" applyFill="1" applyBorder="1" applyAlignment="1">
      <alignment/>
    </xf>
    <xf numFmtId="37" fontId="0" fillId="0" borderId="18" xfId="0" applyNumberFormat="1" applyBorder="1" applyAlignment="1">
      <alignment/>
    </xf>
    <xf numFmtId="0" fontId="0" fillId="35" borderId="0" xfId="0" applyFill="1" applyAlignment="1">
      <alignment/>
    </xf>
    <xf numFmtId="166" fontId="3" fillId="0" borderId="0" xfId="63" applyNumberFormat="1" applyFont="1" applyFill="1" applyBorder="1" applyAlignment="1">
      <alignment/>
    </xf>
    <xf numFmtId="0" fontId="1" fillId="20" borderId="0" xfId="0" applyFont="1" applyFill="1" applyAlignment="1">
      <alignment/>
    </xf>
    <xf numFmtId="0" fontId="0" fillId="20" borderId="0" xfId="0" applyFill="1" applyAlignment="1">
      <alignment/>
    </xf>
    <xf numFmtId="44" fontId="0" fillId="20" borderId="0" xfId="63" applyFont="1" applyFill="1" applyAlignment="1">
      <alignment/>
    </xf>
    <xf numFmtId="0" fontId="1" fillId="35" borderId="0" xfId="0" applyFont="1" applyFill="1" applyAlignment="1">
      <alignment/>
    </xf>
    <xf numFmtId="166" fontId="0" fillId="35" borderId="0" xfId="0" applyNumberFormat="1" applyFill="1" applyAlignment="1">
      <alignment/>
    </xf>
    <xf numFmtId="0" fontId="1" fillId="45" borderId="0" xfId="0" applyFont="1" applyFill="1" applyAlignment="1">
      <alignment/>
    </xf>
    <xf numFmtId="166" fontId="0" fillId="45" borderId="0" xfId="0" applyNumberFormat="1" applyFill="1" applyAlignment="1">
      <alignment/>
    </xf>
    <xf numFmtId="0" fontId="1" fillId="48" borderId="0" xfId="0" applyFont="1" applyFill="1" applyAlignment="1">
      <alignment/>
    </xf>
    <xf numFmtId="166" fontId="0" fillId="48" borderId="0" xfId="0" applyNumberFormat="1" applyFill="1" applyAlignment="1">
      <alignment/>
    </xf>
    <xf numFmtId="0" fontId="0" fillId="48" borderId="0" xfId="0" applyFill="1" applyAlignment="1">
      <alignment/>
    </xf>
    <xf numFmtId="192" fontId="0" fillId="0" borderId="0" xfId="0" applyNumberFormat="1" applyAlignment="1">
      <alignment/>
    </xf>
    <xf numFmtId="43" fontId="0" fillId="35" borderId="0" xfId="0" applyNumberFormat="1" applyFill="1" applyAlignment="1">
      <alignment/>
    </xf>
    <xf numFmtId="169" fontId="3" fillId="49" borderId="17" xfId="60" applyNumberFormat="1" applyFont="1" applyFill="1" applyBorder="1" applyAlignment="1">
      <alignment/>
    </xf>
    <xf numFmtId="44" fontId="0" fillId="0" borderId="0" xfId="0" applyNumberFormat="1" applyAlignment="1">
      <alignment/>
    </xf>
    <xf numFmtId="39" fontId="0" fillId="0" borderId="0" xfId="0" applyNumberFormat="1" applyAlignment="1">
      <alignment/>
    </xf>
    <xf numFmtId="44" fontId="3" fillId="50" borderId="17" xfId="0" applyNumberFormat="1" applyFont="1" applyFill="1" applyBorder="1" applyAlignment="1">
      <alignment/>
    </xf>
    <xf numFmtId="39" fontId="3" fillId="50" borderId="17" xfId="0" applyNumberFormat="1" applyFont="1" applyFill="1" applyBorder="1" applyAlignment="1">
      <alignment/>
    </xf>
    <xf numFmtId="0" fontId="0" fillId="3" borderId="20" xfId="0" applyFill="1" applyBorder="1" applyAlignment="1">
      <alignment/>
    </xf>
    <xf numFmtId="37" fontId="3" fillId="42" borderId="17" xfId="0" applyNumberFormat="1" applyFont="1" applyFill="1" applyBorder="1" applyAlignment="1">
      <alignment horizontal="center"/>
    </xf>
    <xf numFmtId="0" fontId="0" fillId="45" borderId="17" xfId="0" applyFont="1" applyFill="1" applyBorder="1" applyAlignment="1">
      <alignment horizontal="center"/>
    </xf>
    <xf numFmtId="0" fontId="0" fillId="49" borderId="17" xfId="0" applyFill="1" applyBorder="1" applyAlignment="1">
      <alignment horizontal="center"/>
    </xf>
    <xf numFmtId="10" fontId="0" fillId="0" borderId="0" xfId="0" applyNumberFormat="1" applyBorder="1" applyAlignment="1">
      <alignment/>
    </xf>
    <xf numFmtId="10" fontId="0" fillId="0" borderId="0" xfId="0" applyNumberFormat="1" applyFill="1" applyBorder="1" applyAlignment="1">
      <alignment/>
    </xf>
    <xf numFmtId="42" fontId="0" fillId="0" borderId="0" xfId="0" applyNumberFormat="1" applyFill="1" applyAlignment="1">
      <alignment/>
    </xf>
    <xf numFmtId="0" fontId="0" fillId="0" borderId="0" xfId="0" applyBorder="1" applyAlignment="1">
      <alignment/>
    </xf>
    <xf numFmtId="2" fontId="0" fillId="42" borderId="17" xfId="0" applyNumberFormat="1" applyFill="1" applyBorder="1" applyAlignment="1">
      <alignment/>
    </xf>
    <xf numFmtId="0" fontId="0" fillId="42" borderId="17" xfId="0" applyFill="1" applyBorder="1" applyAlignment="1">
      <alignment/>
    </xf>
    <xf numFmtId="44" fontId="0" fillId="0" borderId="17" xfId="63" applyFont="1" applyBorder="1" applyAlignment="1">
      <alignment/>
    </xf>
    <xf numFmtId="0" fontId="0" fillId="51" borderId="0" xfId="0" applyFill="1" applyAlignment="1">
      <alignment/>
    </xf>
    <xf numFmtId="166" fontId="3" fillId="42" borderId="18" xfId="63" applyNumberFormat="1" applyFont="1" applyFill="1" applyBorder="1" applyAlignment="1">
      <alignment/>
    </xf>
    <xf numFmtId="166" fontId="3" fillId="3" borderId="20" xfId="63" applyNumberFormat="1" applyFont="1" applyFill="1" applyBorder="1" applyAlignment="1">
      <alignment/>
    </xf>
    <xf numFmtId="169" fontId="0" fillId="3" borderId="20" xfId="0" applyNumberFormat="1" applyFill="1" applyBorder="1" applyAlignment="1">
      <alignment/>
    </xf>
    <xf numFmtId="166" fontId="3" fillId="0" borderId="20" xfId="63" applyNumberFormat="1" applyFont="1" applyFill="1" applyBorder="1" applyAlignment="1">
      <alignment/>
    </xf>
    <xf numFmtId="1" fontId="0" fillId="3" borderId="20" xfId="0" applyNumberFormat="1" applyFill="1" applyBorder="1" applyAlignment="1">
      <alignment/>
    </xf>
    <xf numFmtId="166" fontId="0" fillId="51" borderId="0" xfId="0" applyNumberFormat="1" applyFill="1" applyAlignment="1">
      <alignment/>
    </xf>
    <xf numFmtId="0" fontId="38" fillId="0" borderId="0" xfId="0" applyFont="1" applyBorder="1" applyAlignment="1">
      <alignment/>
    </xf>
    <xf numFmtId="0" fontId="38" fillId="52" borderId="0" xfId="0" applyFont="1" applyFill="1" applyBorder="1" applyAlignment="1">
      <alignment/>
    </xf>
    <xf numFmtId="0" fontId="38" fillId="52" borderId="0" xfId="0" applyFont="1" applyFill="1" applyBorder="1" applyAlignment="1">
      <alignment horizontal="left"/>
    </xf>
    <xf numFmtId="0" fontId="38" fillId="0" borderId="0" xfId="0" applyFont="1" applyBorder="1" applyAlignment="1" applyProtection="1">
      <alignment/>
      <protection locked="0"/>
    </xf>
    <xf numFmtId="0" fontId="39" fillId="52" borderId="0" xfId="0" applyFont="1" applyFill="1" applyBorder="1" applyAlignment="1">
      <alignment/>
    </xf>
    <xf numFmtId="0" fontId="38" fillId="0" borderId="0" xfId="0" applyFont="1" applyFill="1" applyBorder="1" applyAlignment="1">
      <alignment/>
    </xf>
    <xf numFmtId="0" fontId="38" fillId="0" borderId="0" xfId="0" applyFont="1" applyBorder="1" applyAlignment="1">
      <alignment horizontal="center"/>
    </xf>
    <xf numFmtId="0" fontId="40" fillId="0" borderId="0" xfId="0" applyFont="1" applyFill="1" applyBorder="1" applyAlignment="1">
      <alignment wrapText="1"/>
    </xf>
    <xf numFmtId="0" fontId="41" fillId="52" borderId="0" xfId="0" applyFont="1" applyFill="1" applyBorder="1" applyAlignment="1">
      <alignment/>
    </xf>
    <xf numFmtId="0" fontId="41" fillId="52" borderId="0" xfId="0" applyFont="1" applyFill="1" applyBorder="1" applyAlignment="1">
      <alignment horizontal="center"/>
    </xf>
    <xf numFmtId="0" fontId="41" fillId="52" borderId="0" xfId="0" applyFont="1" applyFill="1" applyBorder="1" applyAlignment="1">
      <alignment horizontal="left"/>
    </xf>
    <xf numFmtId="169" fontId="42" fillId="18" borderId="0" xfId="60" applyNumberFormat="1" applyFont="1" applyFill="1" applyBorder="1" applyAlignment="1" applyProtection="1">
      <alignment horizontal="left" vertical="center"/>
      <protection locked="0"/>
    </xf>
    <xf numFmtId="8" fontId="42" fillId="18" borderId="0" xfId="0" applyNumberFormat="1" applyFont="1" applyFill="1" applyBorder="1" applyAlignment="1" applyProtection="1">
      <alignment horizontal="center"/>
      <protection locked="0"/>
    </xf>
    <xf numFmtId="7" fontId="42" fillId="18" borderId="0" xfId="63" applyNumberFormat="1" applyFont="1" applyFill="1" applyBorder="1" applyAlignment="1" applyProtection="1">
      <alignment horizontal="center"/>
      <protection locked="0"/>
    </xf>
    <xf numFmtId="207" fontId="42" fillId="18" borderId="0" xfId="0" applyNumberFormat="1" applyFont="1" applyFill="1" applyBorder="1" applyAlignment="1" applyProtection="1">
      <alignment horizontal="center"/>
      <protection locked="0"/>
    </xf>
    <xf numFmtId="10" fontId="42" fillId="18" borderId="0" xfId="0" applyNumberFormat="1" applyFont="1" applyFill="1" applyBorder="1" applyAlignment="1" applyProtection="1">
      <alignment horizontal="center"/>
      <protection locked="0"/>
    </xf>
    <xf numFmtId="2" fontId="42" fillId="18" borderId="0" xfId="0" applyNumberFormat="1" applyFont="1" applyFill="1" applyBorder="1" applyAlignment="1" applyProtection="1">
      <alignment horizontal="center"/>
      <protection locked="0"/>
    </xf>
    <xf numFmtId="0" fontId="42" fillId="21" borderId="0" xfId="0" applyFont="1" applyFill="1" applyBorder="1" applyAlignment="1">
      <alignment/>
    </xf>
    <xf numFmtId="0" fontId="41" fillId="21" borderId="0" xfId="0" applyFont="1" applyFill="1" applyBorder="1" applyAlignment="1">
      <alignment/>
    </xf>
    <xf numFmtId="0" fontId="42" fillId="4" borderId="0" xfId="0" applyFont="1" applyFill="1" applyBorder="1" applyAlignment="1">
      <alignment/>
    </xf>
    <xf numFmtId="0" fontId="42" fillId="53" borderId="0" xfId="0" applyFont="1" applyFill="1" applyBorder="1" applyAlignment="1">
      <alignment/>
    </xf>
    <xf numFmtId="0" fontId="42" fillId="27" borderId="21" xfId="0" applyFont="1" applyFill="1" applyBorder="1" applyAlignment="1">
      <alignment horizontal="center" wrapText="1"/>
    </xf>
    <xf numFmtId="0" fontId="42" fillId="29" borderId="21" xfId="0" applyFont="1" applyFill="1" applyBorder="1" applyAlignment="1">
      <alignment horizontal="center" wrapText="1"/>
    </xf>
    <xf numFmtId="0" fontId="42" fillId="30" borderId="21" xfId="0" applyFont="1" applyFill="1" applyBorder="1" applyAlignment="1">
      <alignment horizontal="center" wrapText="1"/>
    </xf>
    <xf numFmtId="166" fontId="42" fillId="18" borderId="21" xfId="63" applyNumberFormat="1" applyFont="1" applyFill="1" applyBorder="1" applyAlignment="1" applyProtection="1">
      <alignment/>
      <protection locked="0"/>
    </xf>
    <xf numFmtId="166" fontId="42" fillId="18" borderId="21" xfId="63" applyNumberFormat="1" applyFont="1" applyFill="1" applyBorder="1" applyAlignment="1" applyProtection="1">
      <alignment horizontal="center" wrapText="1"/>
      <protection locked="0"/>
    </xf>
    <xf numFmtId="1" fontId="42" fillId="18" borderId="21" xfId="63" applyNumberFormat="1" applyFont="1" applyFill="1" applyBorder="1" applyAlignment="1" applyProtection="1">
      <alignment/>
      <protection locked="0"/>
    </xf>
    <xf numFmtId="37" fontId="42" fillId="18" borderId="21" xfId="63" applyNumberFormat="1" applyFont="1" applyFill="1" applyBorder="1" applyAlignment="1" applyProtection="1">
      <alignment/>
      <protection locked="0"/>
    </xf>
    <xf numFmtId="10" fontId="42" fillId="18" borderId="21" xfId="63" applyNumberFormat="1" applyFont="1" applyFill="1" applyBorder="1" applyAlignment="1" applyProtection="1">
      <alignment/>
      <protection locked="0"/>
    </xf>
    <xf numFmtId="42" fontId="84" fillId="52" borderId="21" xfId="0" applyNumberFormat="1" applyFont="1" applyFill="1" applyBorder="1" applyAlignment="1">
      <alignment/>
    </xf>
    <xf numFmtId="0" fontId="85" fillId="52" borderId="21" xfId="0" applyFont="1" applyFill="1" applyBorder="1" applyAlignment="1">
      <alignment/>
    </xf>
    <xf numFmtId="0" fontId="42" fillId="18" borderId="21" xfId="0" applyFont="1" applyFill="1" applyBorder="1" applyAlignment="1" applyProtection="1">
      <alignment horizontal="center"/>
      <protection locked="0"/>
    </xf>
    <xf numFmtId="166" fontId="85" fillId="52" borderId="21" xfId="63" applyNumberFormat="1" applyFont="1" applyFill="1" applyBorder="1" applyAlignment="1">
      <alignment/>
    </xf>
    <xf numFmtId="37" fontId="42" fillId="18" borderId="21" xfId="63" applyNumberFormat="1" applyFont="1" applyFill="1" applyBorder="1" applyAlignment="1" applyProtection="1">
      <alignment horizontal="center"/>
      <protection locked="0"/>
    </xf>
    <xf numFmtId="0" fontId="85" fillId="52" borderId="21" xfId="0" applyFont="1" applyFill="1" applyBorder="1" applyAlignment="1" applyProtection="1">
      <alignment horizontal="center"/>
      <protection locked="0"/>
    </xf>
    <xf numFmtId="170" fontId="42" fillId="18" borderId="21" xfId="63" applyNumberFormat="1" applyFont="1" applyFill="1" applyBorder="1" applyAlignment="1" applyProtection="1">
      <alignment horizontal="center"/>
      <protection locked="0"/>
    </xf>
    <xf numFmtId="170" fontId="85" fillId="52" borderId="21" xfId="63" applyNumberFormat="1" applyFont="1" applyFill="1" applyBorder="1" applyAlignment="1">
      <alignment horizontal="center"/>
    </xf>
    <xf numFmtId="169" fontId="85" fillId="52" borderId="21" xfId="63" applyNumberFormat="1" applyFont="1" applyFill="1" applyBorder="1" applyAlignment="1">
      <alignment horizontal="center"/>
    </xf>
    <xf numFmtId="169" fontId="42" fillId="18" borderId="21" xfId="60" applyNumberFormat="1" applyFont="1" applyFill="1" applyBorder="1" applyAlignment="1" applyProtection="1">
      <alignment horizontal="center"/>
      <protection locked="0"/>
    </xf>
    <xf numFmtId="7" fontId="41" fillId="52" borderId="21" xfId="0" applyNumberFormat="1" applyFont="1" applyFill="1" applyBorder="1" applyAlignment="1">
      <alignment/>
    </xf>
    <xf numFmtId="0" fontId="41" fillId="52" borderId="21" xfId="0" applyFont="1" applyFill="1" applyBorder="1" applyAlignment="1">
      <alignment/>
    </xf>
    <xf numFmtId="8" fontId="41" fillId="52" borderId="21" xfId="0" applyNumberFormat="1" applyFont="1" applyFill="1" applyBorder="1" applyAlignment="1" applyProtection="1">
      <alignment horizontal="left"/>
      <protection hidden="1"/>
    </xf>
    <xf numFmtId="7" fontId="42" fillId="52" borderId="21" xfId="63" applyNumberFormat="1" applyFont="1" applyFill="1" applyBorder="1" applyAlignment="1" applyProtection="1">
      <alignment horizontal="center"/>
      <protection hidden="1"/>
    </xf>
    <xf numFmtId="7" fontId="41" fillId="52" borderId="21" xfId="0" applyNumberFormat="1" applyFont="1" applyFill="1" applyBorder="1" applyAlignment="1">
      <alignment horizontal="right"/>
    </xf>
    <xf numFmtId="8" fontId="42" fillId="52" borderId="21" xfId="0" applyNumberFormat="1" applyFont="1" applyFill="1" applyBorder="1" applyAlignment="1" applyProtection="1">
      <alignment horizontal="center"/>
      <protection hidden="1"/>
    </xf>
    <xf numFmtId="0" fontId="41" fillId="52" borderId="21" xfId="0" applyFont="1" applyFill="1" applyBorder="1" applyAlignment="1">
      <alignment horizontal="center"/>
    </xf>
    <xf numFmtId="0" fontId="41" fillId="52" borderId="21" xfId="0" applyFont="1" applyFill="1" applyBorder="1" applyAlignment="1">
      <alignment horizontal="left"/>
    </xf>
    <xf numFmtId="169" fontId="42" fillId="13" borderId="21" xfId="60" applyNumberFormat="1" applyFont="1" applyFill="1" applyBorder="1" applyAlignment="1" applyProtection="1">
      <alignment horizontal="right"/>
      <protection hidden="1"/>
    </xf>
    <xf numFmtId="169" fontId="42" fillId="4" borderId="21" xfId="60" applyNumberFormat="1" applyFont="1" applyFill="1" applyBorder="1" applyAlignment="1" applyProtection="1">
      <alignment horizontal="right"/>
      <protection hidden="1"/>
    </xf>
    <xf numFmtId="0" fontId="41" fillId="4" borderId="0" xfId="0" applyFont="1" applyFill="1" applyBorder="1" applyAlignment="1">
      <alignment/>
    </xf>
    <xf numFmtId="0" fontId="41" fillId="4" borderId="21" xfId="0" applyFont="1" applyFill="1" applyBorder="1" applyAlignment="1">
      <alignment/>
    </xf>
    <xf numFmtId="0" fontId="42" fillId="4" borderId="0" xfId="0" applyFont="1" applyFill="1" applyBorder="1" applyAlignment="1">
      <alignment horizontal="left"/>
    </xf>
    <xf numFmtId="0" fontId="41" fillId="4" borderId="0" xfId="0" applyFont="1" applyFill="1" applyBorder="1" applyAlignment="1">
      <alignment/>
    </xf>
    <xf numFmtId="44" fontId="42" fillId="21" borderId="0" xfId="0" applyNumberFormat="1" applyFont="1" applyFill="1" applyBorder="1" applyAlignment="1" applyProtection="1">
      <alignment/>
      <protection hidden="1"/>
    </xf>
    <xf numFmtId="44" fontId="42" fillId="21" borderId="0" xfId="0" applyNumberFormat="1" applyFont="1" applyFill="1" applyBorder="1" applyAlignment="1">
      <alignment/>
    </xf>
    <xf numFmtId="44" fontId="42" fillId="4" borderId="21" xfId="0" applyNumberFormat="1" applyFont="1" applyFill="1" applyBorder="1" applyAlignment="1" applyProtection="1">
      <alignment/>
      <protection hidden="1"/>
    </xf>
    <xf numFmtId="170" fontId="42" fillId="4" borderId="21" xfId="60" applyNumberFormat="1" applyFont="1" applyFill="1" applyBorder="1" applyAlignment="1" applyProtection="1">
      <alignment/>
      <protection hidden="1"/>
    </xf>
    <xf numFmtId="169" fontId="42" fillId="4" borderId="21" xfId="60" applyNumberFormat="1" applyFont="1" applyFill="1" applyBorder="1" applyAlignment="1" applyProtection="1">
      <alignment/>
      <protection hidden="1"/>
    </xf>
    <xf numFmtId="167" fontId="42" fillId="4" borderId="21" xfId="60" applyNumberFormat="1" applyFont="1" applyFill="1" applyBorder="1" applyAlignment="1" applyProtection="1">
      <alignment/>
      <protection hidden="1"/>
    </xf>
    <xf numFmtId="42" fontId="42" fillId="4" borderId="21" xfId="0" applyNumberFormat="1" applyFont="1" applyFill="1" applyBorder="1" applyAlignment="1" applyProtection="1">
      <alignment/>
      <protection hidden="1"/>
    </xf>
    <xf numFmtId="37" fontId="42" fillId="4" borderId="21" xfId="0" applyNumberFormat="1" applyFont="1" applyFill="1" applyBorder="1" applyAlignment="1" applyProtection="1">
      <alignment/>
      <protection hidden="1"/>
    </xf>
    <xf numFmtId="0" fontId="42" fillId="53" borderId="22" xfId="0" applyFont="1" applyFill="1" applyBorder="1" applyAlignment="1">
      <alignment/>
    </xf>
    <xf numFmtId="0" fontId="41" fillId="21" borderId="22" xfId="0" applyFont="1" applyFill="1" applyBorder="1" applyAlignment="1">
      <alignment/>
    </xf>
    <xf numFmtId="44" fontId="42" fillId="21" borderId="22" xfId="0" applyNumberFormat="1" applyFont="1" applyFill="1" applyBorder="1" applyAlignment="1">
      <alignment/>
    </xf>
    <xf numFmtId="44" fontId="42" fillId="4" borderId="21" xfId="63" applyNumberFormat="1" applyFont="1" applyFill="1" applyBorder="1" applyAlignment="1" applyProtection="1">
      <alignment/>
      <protection hidden="1"/>
    </xf>
    <xf numFmtId="44" fontId="42" fillId="4" borderId="21" xfId="63" applyFont="1" applyFill="1" applyBorder="1" applyAlignment="1">
      <alignment/>
    </xf>
    <xf numFmtId="44" fontId="42" fillId="4" borderId="21" xfId="63" applyNumberFormat="1" applyFont="1" applyFill="1" applyBorder="1" applyAlignment="1">
      <alignment/>
    </xf>
    <xf numFmtId="44" fontId="42" fillId="4" borderId="21" xfId="0" applyNumberFormat="1" applyFont="1" applyFill="1" applyBorder="1" applyAlignment="1">
      <alignment/>
    </xf>
    <xf numFmtId="0" fontId="86" fillId="0" borderId="0" xfId="0" applyFont="1" applyFill="1" applyBorder="1" applyAlignment="1">
      <alignment/>
    </xf>
    <xf numFmtId="0" fontId="85" fillId="0" borderId="0" xfId="0" applyFont="1" applyFill="1" applyBorder="1" applyAlignment="1">
      <alignment horizontal="center" wrapText="1"/>
    </xf>
    <xf numFmtId="169" fontId="86" fillId="0" borderId="0" xfId="60" applyNumberFormat="1" applyFont="1" applyFill="1" applyBorder="1" applyAlignment="1">
      <alignment/>
    </xf>
    <xf numFmtId="9" fontId="86" fillId="0" borderId="0" xfId="91" applyFont="1" applyFill="1" applyBorder="1" applyAlignment="1">
      <alignment/>
    </xf>
    <xf numFmtId="166" fontId="86" fillId="0" borderId="0" xfId="63" applyNumberFormat="1" applyFont="1" applyFill="1" applyBorder="1" applyAlignment="1">
      <alignment/>
    </xf>
    <xf numFmtId="0" fontId="87" fillId="54" borderId="0" xfId="0" applyFont="1" applyFill="1" applyBorder="1" applyAlignment="1">
      <alignment horizontal="left" vertical="center"/>
    </xf>
    <xf numFmtId="0" fontId="88" fillId="54" borderId="0" xfId="0" applyFont="1" applyFill="1" applyBorder="1" applyAlignment="1">
      <alignment vertical="center"/>
    </xf>
    <xf numFmtId="0" fontId="88" fillId="54" borderId="0" xfId="0" applyFont="1" applyFill="1" applyBorder="1" applyAlignment="1">
      <alignment horizontal="left" vertical="center"/>
    </xf>
    <xf numFmtId="0" fontId="89" fillId="54" borderId="0" xfId="0" applyFont="1" applyFill="1" applyBorder="1" applyAlignment="1">
      <alignment vertical="center"/>
    </xf>
    <xf numFmtId="0" fontId="87" fillId="54" borderId="0" xfId="0" applyFont="1" applyFill="1" applyBorder="1" applyAlignment="1">
      <alignment vertical="center"/>
    </xf>
    <xf numFmtId="0" fontId="39" fillId="0" borderId="0" xfId="0" applyFont="1" applyFill="1" applyBorder="1" applyAlignment="1">
      <alignment vertical="center"/>
    </xf>
    <xf numFmtId="0" fontId="38" fillId="0" borderId="0" xfId="0" applyFont="1" applyBorder="1" applyAlignment="1">
      <alignment vertical="center"/>
    </xf>
    <xf numFmtId="0" fontId="0" fillId="0" borderId="0" xfId="0" applyBorder="1" applyAlignment="1">
      <alignment vertical="center"/>
    </xf>
    <xf numFmtId="0" fontId="90" fillId="54" borderId="0" xfId="0" applyFont="1" applyFill="1" applyBorder="1" applyAlignment="1">
      <alignment horizontal="left" vertical="center" indent="1"/>
    </xf>
    <xf numFmtId="0" fontId="20" fillId="0" borderId="0" xfId="0" applyFont="1" applyFill="1" applyBorder="1" applyAlignment="1">
      <alignment horizontal="left" indent="1"/>
    </xf>
    <xf numFmtId="0" fontId="19" fillId="0" borderId="0" xfId="0" applyFont="1" applyFill="1" applyBorder="1" applyAlignment="1">
      <alignment horizontal="left" indent="1"/>
    </xf>
    <xf numFmtId="0" fontId="50" fillId="0" borderId="0" xfId="0" applyFont="1" applyFill="1" applyBorder="1" applyAlignment="1">
      <alignment/>
    </xf>
    <xf numFmtId="0" fontId="19" fillId="0" borderId="0" xfId="0" applyFont="1" applyFill="1" applyBorder="1" applyAlignment="1">
      <alignment/>
    </xf>
    <xf numFmtId="0" fontId="91" fillId="0" borderId="0" xfId="0" applyFont="1" applyFill="1" applyBorder="1" applyAlignment="1">
      <alignment horizontal="center"/>
    </xf>
    <xf numFmtId="0" fontId="91" fillId="0" borderId="0" xfId="0" applyFont="1" applyFill="1" applyBorder="1" applyAlignment="1">
      <alignment/>
    </xf>
    <xf numFmtId="169" fontId="92" fillId="0" borderId="0" xfId="60" applyNumberFormat="1" applyFont="1" applyFill="1" applyBorder="1" applyAlignment="1">
      <alignment/>
    </xf>
    <xf numFmtId="0" fontId="92" fillId="0" borderId="0" xfId="0" applyFont="1" applyFill="1" applyBorder="1" applyAlignment="1">
      <alignment/>
    </xf>
    <xf numFmtId="2" fontId="92" fillId="0" borderId="0" xfId="0" applyNumberFormat="1" applyFont="1" applyFill="1" applyBorder="1" applyAlignment="1">
      <alignment/>
    </xf>
    <xf numFmtId="192" fontId="92" fillId="0" borderId="0" xfId="0" applyNumberFormat="1" applyFont="1" applyFill="1" applyBorder="1" applyAlignment="1">
      <alignment/>
    </xf>
    <xf numFmtId="0" fontId="42" fillId="55" borderId="21" xfId="0" applyFont="1" applyFill="1" applyBorder="1" applyAlignment="1">
      <alignment horizontal="center" wrapText="1"/>
    </xf>
    <xf numFmtId="15" fontId="88" fillId="54" borderId="0" xfId="0" applyNumberFormat="1" applyFont="1" applyFill="1" applyBorder="1" applyAlignment="1">
      <alignment horizontal="center" vertical="center"/>
    </xf>
    <xf numFmtId="0" fontId="84" fillId="54" borderId="0" xfId="0" applyFont="1" applyFill="1" applyBorder="1" applyAlignment="1">
      <alignment horizontal="left" vertical="center" wrapText="1" indent="1"/>
    </xf>
    <xf numFmtId="0" fontId="40" fillId="0" borderId="0" xfId="0" applyFont="1" applyAlignment="1">
      <alignment/>
    </xf>
    <xf numFmtId="0" fontId="40" fillId="0" borderId="23" xfId="0" applyFont="1" applyBorder="1" applyAlignment="1">
      <alignment/>
    </xf>
    <xf numFmtId="0" fontId="40" fillId="0" borderId="17" xfId="0" applyFont="1" applyBorder="1" applyAlignment="1">
      <alignment/>
    </xf>
    <xf numFmtId="0" fontId="53" fillId="0" borderId="17" xfId="0" applyFont="1" applyBorder="1" applyAlignment="1">
      <alignment/>
    </xf>
    <xf numFmtId="0" fontId="40" fillId="0" borderId="24" xfId="0" applyFont="1" applyBorder="1" applyAlignment="1">
      <alignment/>
    </xf>
    <xf numFmtId="0" fontId="40" fillId="0" borderId="25" xfId="0" applyFont="1" applyBorder="1" applyAlignment="1">
      <alignment/>
    </xf>
    <xf numFmtId="0" fontId="40" fillId="0" borderId="26" xfId="0" applyFont="1" applyBorder="1" applyAlignment="1">
      <alignment/>
    </xf>
    <xf numFmtId="0" fontId="40" fillId="0" borderId="0" xfId="0" applyFont="1" applyBorder="1" applyAlignment="1">
      <alignment horizontal="center"/>
    </xf>
    <xf numFmtId="2" fontId="40" fillId="0" borderId="0" xfId="0" applyNumberFormat="1" applyFont="1" applyBorder="1" applyAlignment="1">
      <alignment horizontal="center"/>
    </xf>
    <xf numFmtId="0" fontId="40" fillId="0" borderId="0" xfId="0" applyFont="1" applyBorder="1" applyAlignment="1">
      <alignment/>
    </xf>
    <xf numFmtId="0" fontId="40" fillId="0" borderId="27" xfId="0" applyFont="1" applyBorder="1" applyAlignment="1">
      <alignment/>
    </xf>
    <xf numFmtId="0" fontId="40" fillId="0" borderId="28" xfId="0" applyFont="1" applyBorder="1" applyAlignment="1">
      <alignment/>
    </xf>
    <xf numFmtId="0" fontId="40" fillId="0" borderId="29" xfId="0" applyFont="1" applyBorder="1" applyAlignment="1">
      <alignment/>
    </xf>
    <xf numFmtId="2" fontId="40" fillId="0" borderId="30" xfId="0" applyNumberFormat="1" applyFont="1" applyBorder="1" applyAlignment="1">
      <alignment horizontal="center"/>
    </xf>
    <xf numFmtId="0" fontId="40" fillId="0" borderId="30" xfId="0" applyFont="1" applyBorder="1" applyAlignment="1">
      <alignment horizontal="center"/>
    </xf>
    <xf numFmtId="2" fontId="40" fillId="0" borderId="30" xfId="0" applyNumberFormat="1" applyFont="1" applyBorder="1" applyAlignment="1">
      <alignment/>
    </xf>
    <xf numFmtId="0" fontId="40" fillId="0" borderId="31" xfId="0" applyFont="1" applyBorder="1" applyAlignment="1">
      <alignment/>
    </xf>
    <xf numFmtId="0" fontId="53" fillId="0" borderId="0" xfId="0" applyFont="1" applyAlignment="1">
      <alignment/>
    </xf>
    <xf numFmtId="0" fontId="53" fillId="0" borderId="18" xfId="0" applyFont="1" applyBorder="1" applyAlignment="1">
      <alignment horizontal="center"/>
    </xf>
    <xf numFmtId="0" fontId="53" fillId="0" borderId="18" xfId="0" applyFont="1" applyBorder="1" applyAlignment="1">
      <alignment/>
    </xf>
    <xf numFmtId="0" fontId="53" fillId="0" borderId="18" xfId="0" applyFont="1" applyBorder="1" applyAlignment="1">
      <alignment horizontal="left"/>
    </xf>
    <xf numFmtId="0" fontId="40" fillId="0" borderId="32" xfId="0" applyFont="1" applyBorder="1" applyAlignment="1">
      <alignment horizontal="center"/>
    </xf>
    <xf numFmtId="9" fontId="40" fillId="0" borderId="32" xfId="0" applyNumberFormat="1" applyFont="1" applyBorder="1" applyAlignment="1">
      <alignment horizontal="center"/>
    </xf>
    <xf numFmtId="2" fontId="40" fillId="0" borderId="32" xfId="0" applyNumberFormat="1" applyFont="1" applyBorder="1" applyAlignment="1">
      <alignment horizontal="center"/>
    </xf>
    <xf numFmtId="0" fontId="40" fillId="0" borderId="19" xfId="0" applyFont="1" applyBorder="1" applyAlignment="1">
      <alignment horizontal="center"/>
    </xf>
    <xf numFmtId="9" fontId="40" fillId="0" borderId="19" xfId="0" applyNumberFormat="1" applyFont="1" applyBorder="1" applyAlignment="1">
      <alignment horizontal="center"/>
    </xf>
    <xf numFmtId="2" fontId="40" fillId="0" borderId="19" xfId="0" applyNumberFormat="1" applyFont="1" applyBorder="1" applyAlignment="1">
      <alignment horizontal="center"/>
    </xf>
    <xf numFmtId="0" fontId="40" fillId="0" borderId="0" xfId="0" applyFont="1" applyAlignment="1">
      <alignment horizontal="center"/>
    </xf>
    <xf numFmtId="174" fontId="40" fillId="33" borderId="0" xfId="0" applyNumberFormat="1" applyFont="1" applyFill="1" applyAlignment="1">
      <alignment/>
    </xf>
    <xf numFmtId="174" fontId="40" fillId="0" borderId="0" xfId="0" applyNumberFormat="1" applyFont="1" applyAlignment="1">
      <alignment/>
    </xf>
    <xf numFmtId="0" fontId="40" fillId="0" borderId="17" xfId="0" applyFont="1" applyBorder="1" applyAlignment="1">
      <alignment horizontal="center"/>
    </xf>
    <xf numFmtId="43" fontId="40" fillId="0" borderId="0" xfId="60" applyFont="1" applyAlignment="1">
      <alignment horizontal="center"/>
    </xf>
    <xf numFmtId="2" fontId="40" fillId="0" borderId="0" xfId="0" applyNumberFormat="1" applyFont="1" applyAlignment="1">
      <alignment/>
    </xf>
    <xf numFmtId="0" fontId="40" fillId="29" borderId="17" xfId="0" applyFont="1" applyFill="1" applyBorder="1" applyAlignment="1">
      <alignment horizontal="center" wrapText="1"/>
    </xf>
    <xf numFmtId="0" fontId="40" fillId="29" borderId="17" xfId="0" applyFont="1" applyFill="1" applyBorder="1" applyAlignment="1">
      <alignment/>
    </xf>
    <xf numFmtId="2" fontId="40" fillId="29" borderId="17" xfId="0" applyNumberFormat="1" applyFont="1" applyFill="1" applyBorder="1" applyAlignment="1">
      <alignment horizontal="center" wrapText="1"/>
    </xf>
    <xf numFmtId="0" fontId="40" fillId="33" borderId="18" xfId="0" applyFont="1" applyFill="1" applyBorder="1" applyAlignment="1">
      <alignment/>
    </xf>
    <xf numFmtId="10" fontId="40" fillId="33" borderId="32" xfId="91" applyNumberFormat="1" applyFont="1" applyFill="1" applyBorder="1" applyAlignment="1">
      <alignment/>
    </xf>
    <xf numFmtId="10" fontId="40" fillId="33" borderId="19" xfId="91" applyNumberFormat="1" applyFont="1" applyFill="1" applyBorder="1" applyAlignment="1">
      <alignment/>
    </xf>
    <xf numFmtId="0" fontId="40" fillId="33" borderId="0" xfId="0" applyFont="1" applyFill="1" applyAlignment="1">
      <alignment/>
    </xf>
    <xf numFmtId="0" fontId="40" fillId="30" borderId="0" xfId="0" applyFont="1" applyFill="1" applyAlignment="1">
      <alignment/>
    </xf>
    <xf numFmtId="0" fontId="38" fillId="0" borderId="0" xfId="0" applyFont="1" applyAlignment="1">
      <alignment/>
    </xf>
    <xf numFmtId="0" fontId="38" fillId="0" borderId="0" xfId="0" applyFont="1" applyAlignment="1">
      <alignment horizontal="center"/>
    </xf>
    <xf numFmtId="0" fontId="54" fillId="0" borderId="0" xfId="0" applyFont="1" applyAlignment="1">
      <alignment/>
    </xf>
    <xf numFmtId="0" fontId="93" fillId="0" borderId="0" xfId="0" applyFont="1" applyAlignment="1">
      <alignment/>
    </xf>
    <xf numFmtId="0" fontId="56" fillId="0" borderId="0" xfId="0" applyFont="1" applyAlignment="1">
      <alignment/>
    </xf>
    <xf numFmtId="0" fontId="38" fillId="56" borderId="0" xfId="0" applyFont="1" applyFill="1" applyAlignment="1">
      <alignment/>
    </xf>
    <xf numFmtId="0" fontId="94" fillId="0" borderId="0" xfId="0" applyFont="1" applyAlignment="1">
      <alignment/>
    </xf>
    <xf numFmtId="0" fontId="75" fillId="0" borderId="0" xfId="76" applyFont="1" applyAlignment="1" applyProtection="1">
      <alignment/>
      <protection/>
    </xf>
    <xf numFmtId="0" fontId="95" fillId="0" borderId="0" xfId="0" applyFont="1" applyAlignment="1">
      <alignment horizontal="left"/>
    </xf>
    <xf numFmtId="0" fontId="38" fillId="52" borderId="0" xfId="0" applyFont="1" applyFill="1" applyAlignment="1">
      <alignment/>
    </xf>
    <xf numFmtId="0" fontId="59" fillId="57" borderId="0" xfId="0" applyFont="1" applyFill="1" applyAlignment="1">
      <alignment horizontal="center" vertical="center" wrapText="1"/>
    </xf>
    <xf numFmtId="0" fontId="95" fillId="0" borderId="0" xfId="0" applyFont="1" applyAlignment="1">
      <alignment/>
    </xf>
    <xf numFmtId="0" fontId="59" fillId="57" borderId="0" xfId="0" applyFont="1" applyFill="1" applyAlignment="1">
      <alignment horizontal="left" wrapText="1"/>
    </xf>
    <xf numFmtId="3" fontId="59" fillId="57" borderId="0" xfId="0" applyNumberFormat="1" applyFont="1" applyFill="1" applyAlignment="1">
      <alignment horizontal="right" wrapText="1"/>
    </xf>
    <xf numFmtId="0" fontId="59" fillId="57" borderId="0" xfId="0" applyFont="1" applyFill="1" applyAlignment="1">
      <alignment horizontal="center" wrapText="1"/>
    </xf>
    <xf numFmtId="8" fontId="59" fillId="57" borderId="0" xfId="0" applyNumberFormat="1" applyFont="1" applyFill="1" applyAlignment="1">
      <alignment horizontal="center" wrapText="1"/>
    </xf>
    <xf numFmtId="0" fontId="60" fillId="58" borderId="0" xfId="0" applyFont="1" applyFill="1" applyAlignment="1">
      <alignment horizontal="left" wrapText="1"/>
    </xf>
    <xf numFmtId="3" fontId="60" fillId="58" borderId="0" xfId="0" applyNumberFormat="1" applyFont="1" applyFill="1" applyAlignment="1">
      <alignment horizontal="right" wrapText="1"/>
    </xf>
    <xf numFmtId="0" fontId="60" fillId="58" borderId="0" xfId="0" applyFont="1" applyFill="1" applyAlignment="1">
      <alignment horizontal="center" wrapText="1"/>
    </xf>
    <xf numFmtId="8" fontId="60" fillId="58" borderId="0" xfId="0" applyNumberFormat="1" applyFont="1" applyFill="1" applyAlignment="1">
      <alignment horizontal="center" wrapText="1"/>
    </xf>
    <xf numFmtId="3" fontId="60" fillId="58" borderId="0" xfId="0" applyNumberFormat="1" applyFont="1" applyFill="1" applyAlignment="1">
      <alignment horizontal="center" wrapText="1"/>
    </xf>
    <xf numFmtId="3" fontId="59" fillId="57" borderId="0" xfId="0" applyNumberFormat="1" applyFont="1" applyFill="1" applyAlignment="1">
      <alignment horizontal="center" wrapText="1"/>
    </xf>
    <xf numFmtId="0" fontId="87" fillId="59" borderId="0" xfId="0" applyFont="1" applyFill="1" applyBorder="1" applyAlignment="1">
      <alignment vertical="center"/>
    </xf>
    <xf numFmtId="0" fontId="92" fillId="54" borderId="0" xfId="0" applyFont="1" applyFill="1" applyBorder="1" applyAlignment="1">
      <alignment/>
    </xf>
    <xf numFmtId="0" fontId="21" fillId="52" borderId="0" xfId="76" applyFont="1" applyFill="1" applyBorder="1" applyAlignment="1" applyProtection="1">
      <alignment/>
      <protection/>
    </xf>
    <xf numFmtId="0" fontId="21" fillId="52" borderId="0" xfId="76" applyFont="1" applyFill="1" applyBorder="1" applyAlignment="1" applyProtection="1">
      <alignment horizontal="left"/>
      <protection/>
    </xf>
    <xf numFmtId="0" fontId="42" fillId="53" borderId="0" xfId="0" applyFont="1" applyFill="1" applyBorder="1" applyAlignment="1">
      <alignment horizontal="left"/>
    </xf>
    <xf numFmtId="0" fontId="42" fillId="53" borderId="22" xfId="0" applyFont="1" applyFill="1" applyBorder="1" applyAlignment="1">
      <alignment horizontal="left"/>
    </xf>
    <xf numFmtId="0" fontId="84" fillId="54" borderId="0" xfId="0" applyFont="1" applyFill="1" applyBorder="1" applyAlignment="1">
      <alignment horizontal="left" wrapText="1" indent="1"/>
    </xf>
    <xf numFmtId="0" fontId="41" fillId="52" borderId="21" xfId="0" applyFont="1" applyFill="1" applyBorder="1" applyAlignment="1">
      <alignment wrapText="1"/>
    </xf>
    <xf numFmtId="0" fontId="19" fillId="59" borderId="0" xfId="0" applyFont="1" applyFill="1" applyBorder="1" applyAlignment="1">
      <alignment horizontal="left" wrapText="1" indent="1"/>
    </xf>
    <xf numFmtId="0" fontId="19" fillId="59" borderId="0" xfId="0" applyFont="1" applyFill="1" applyBorder="1" applyAlignment="1">
      <alignment horizontal="left" vertical="center" wrapText="1" indent="1"/>
    </xf>
    <xf numFmtId="0" fontId="84" fillId="54" borderId="0" xfId="0" applyFont="1" applyFill="1" applyBorder="1" applyAlignment="1">
      <alignment horizontal="left" vertical="center" wrapText="1" indent="1"/>
    </xf>
    <xf numFmtId="0" fontId="3" fillId="0" borderId="0" xfId="0" applyFont="1" applyAlignment="1">
      <alignment horizontal="center"/>
    </xf>
    <xf numFmtId="0" fontId="96" fillId="0" borderId="0" xfId="0" applyFont="1" applyAlignment="1">
      <alignment horizontal="left" vertical="center" wrapText="1"/>
    </xf>
    <xf numFmtId="0" fontId="40" fillId="0" borderId="32" xfId="0" applyFont="1" applyBorder="1" applyAlignment="1">
      <alignment horizontal="center"/>
    </xf>
    <xf numFmtId="0" fontId="40" fillId="0" borderId="19" xfId="0" applyFont="1" applyBorder="1" applyAlignment="1">
      <alignment horizontal="center"/>
    </xf>
  </cellXfs>
  <cellStyles count="8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1 2" xfId="26"/>
    <cellStyle name="40% - Accent2" xfId="27"/>
    <cellStyle name="40% - Accent3" xfId="28"/>
    <cellStyle name="40% - Accent3 2" xfId="29"/>
    <cellStyle name="40% - Accent4" xfId="30"/>
    <cellStyle name="40% - Accent4 2" xfId="31"/>
    <cellStyle name="40% - Accent5" xfId="32"/>
    <cellStyle name="40% - Accent6" xfId="33"/>
    <cellStyle name="40% - Accent6 2" xfId="34"/>
    <cellStyle name="60% - Accent1" xfId="35"/>
    <cellStyle name="60% - Accent1 2" xfId="36"/>
    <cellStyle name="60% - Accent2" xfId="37"/>
    <cellStyle name="60% - Accent3" xfId="38"/>
    <cellStyle name="60% - Accent3 2" xfId="39"/>
    <cellStyle name="60% - Accent4" xfId="40"/>
    <cellStyle name="60% - Accent4 2" xfId="41"/>
    <cellStyle name="60% - Accent5" xfId="42"/>
    <cellStyle name="60% - Accent6" xfId="43"/>
    <cellStyle name="60% - Accent6 2" xfId="44"/>
    <cellStyle name="Accent1" xfId="45"/>
    <cellStyle name="Accent1 2" xfId="46"/>
    <cellStyle name="Accent2" xfId="47"/>
    <cellStyle name="Accent2 2" xfId="48"/>
    <cellStyle name="Accent3" xfId="49"/>
    <cellStyle name="Accent3 2" xfId="50"/>
    <cellStyle name="Accent4" xfId="51"/>
    <cellStyle name="Accent4 2" xfId="52"/>
    <cellStyle name="Accent5" xfId="53"/>
    <cellStyle name="Accent6" xfId="54"/>
    <cellStyle name="Bad" xfId="55"/>
    <cellStyle name="Bad 2" xfId="56"/>
    <cellStyle name="Calculation" xfId="57"/>
    <cellStyle name="Calculation 2" xfId="58"/>
    <cellStyle name="Check Cell" xfId="59"/>
    <cellStyle name="Comma" xfId="60"/>
    <cellStyle name="Comma [0]" xfId="61"/>
    <cellStyle name="Comma 2" xfId="62"/>
    <cellStyle name="Currency" xfId="63"/>
    <cellStyle name="Currency [0]" xfId="64"/>
    <cellStyle name="Explanatory Text" xfId="65"/>
    <cellStyle name="Followed Hyperlink" xfId="66"/>
    <cellStyle name="Good" xfId="67"/>
    <cellStyle name="Heading 1" xfId="68"/>
    <cellStyle name="Heading 1 2" xfId="69"/>
    <cellStyle name="Heading 2" xfId="70"/>
    <cellStyle name="Heading 2 2" xfId="71"/>
    <cellStyle name="Heading 3" xfId="72"/>
    <cellStyle name="Heading 3 2" xfId="73"/>
    <cellStyle name="Heading 4" xfId="74"/>
    <cellStyle name="Heading 4 2" xfId="75"/>
    <cellStyle name="Hyperlink" xfId="76"/>
    <cellStyle name="Hyperlink 2" xfId="77"/>
    <cellStyle name="Input" xfId="78"/>
    <cellStyle name="Linked Cell" xfId="79"/>
    <cellStyle name="Neutral" xfId="80"/>
    <cellStyle name="Normal 2" xfId="81"/>
    <cellStyle name="Normal 2 2" xfId="82"/>
    <cellStyle name="Normal 3" xfId="83"/>
    <cellStyle name="Normal 4" xfId="84"/>
    <cellStyle name="Normal 5" xfId="85"/>
    <cellStyle name="Normal 7" xfId="86"/>
    <cellStyle name="Note" xfId="87"/>
    <cellStyle name="Note 2" xfId="88"/>
    <cellStyle name="Output" xfId="89"/>
    <cellStyle name="Output 2" xfId="90"/>
    <cellStyle name="Percent" xfId="91"/>
    <cellStyle name="Percent 2" xfId="92"/>
    <cellStyle name="Percent 2 2" xfId="93"/>
    <cellStyle name="Percent 3" xfId="94"/>
    <cellStyle name="Percent 4" xfId="95"/>
    <cellStyle name="Title" xfId="96"/>
    <cellStyle name="Title 2" xfId="97"/>
    <cellStyle name="Total" xfId="98"/>
    <cellStyle name="Total 2" xfId="99"/>
    <cellStyle name="Warning Text" xfId="1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Accumulated discounted costs of ownership and operation of conventional, hybrid, electric, and extended range electric vehicles by year</a:t>
            </a:r>
          </a:p>
        </c:rich>
      </c:tx>
      <c:layout>
        <c:manualLayout>
          <c:xMode val="factor"/>
          <c:yMode val="factor"/>
          <c:x val="0"/>
          <c:y val="-0.008"/>
        </c:manualLayout>
      </c:layout>
      <c:spPr>
        <a:noFill/>
        <a:ln w="3175">
          <a:noFill/>
        </a:ln>
      </c:spPr>
    </c:title>
    <c:plotArea>
      <c:layout>
        <c:manualLayout>
          <c:xMode val="edge"/>
          <c:yMode val="edge"/>
          <c:x val="0"/>
          <c:y val="0.151"/>
          <c:w val="0.9345"/>
          <c:h val="0.8115"/>
        </c:manualLayout>
      </c:layout>
      <c:lineChart>
        <c:grouping val="standard"/>
        <c:varyColors val="0"/>
        <c:ser>
          <c:idx val="0"/>
          <c:order val="0"/>
          <c:tx>
            <c:strRef>
              <c:f>input!$A$87</c:f>
              <c:strCache>
                <c:ptCount val="1"/>
                <c:pt idx="0">
                  <c:v>Conventional</c:v>
                </c:pt>
              </c:strCache>
            </c:strRef>
          </c:tx>
          <c:spPr>
            <a:ln w="25400">
              <a:solidFill>
                <a:srgbClr val="9933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808000"/>
              </a:solidFill>
              <a:ln>
                <a:solidFill>
                  <a:srgbClr val="993300"/>
                </a:solidFill>
              </a:ln>
            </c:spPr>
          </c:marker>
          <c:dLbls>
            <c:dLbl>
              <c:idx val="15"/>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input!$C$86:$R$86</c:f>
              <c:numCache/>
            </c:numRef>
          </c:cat>
          <c:val>
            <c:numRef>
              <c:f>input!$C$87:$R$87</c:f>
              <c:numCache/>
            </c:numRef>
          </c:val>
          <c:smooth val="0"/>
        </c:ser>
        <c:ser>
          <c:idx val="1"/>
          <c:order val="1"/>
          <c:tx>
            <c:strRef>
              <c:f>input!$A$88</c:f>
              <c:strCache>
                <c:ptCount val="1"/>
                <c:pt idx="0">
                  <c:v>Hybrid</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CC00"/>
              </a:solidFill>
              <a:ln>
                <a:solidFill>
                  <a:srgbClr val="99CC00"/>
                </a:solidFill>
              </a:ln>
            </c:spPr>
          </c:marker>
          <c:cat>
            <c:numRef>
              <c:f>input!$C$86:$R$86</c:f>
              <c:numCache/>
            </c:numRef>
          </c:cat>
          <c:val>
            <c:numRef>
              <c:f>input!$C$88:$R$88</c:f>
              <c:numCache/>
            </c:numRef>
          </c:val>
          <c:smooth val="0"/>
        </c:ser>
        <c:ser>
          <c:idx val="2"/>
          <c:order val="2"/>
          <c:tx>
            <c:strRef>
              <c:f>input!$A$89</c:f>
              <c:strCache>
                <c:ptCount val="1"/>
                <c:pt idx="0">
                  <c:v>Electric </c:v>
                </c:pt>
              </c:strCache>
            </c:strRef>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FF9900"/>
              </a:solidFill>
              <a:ln>
                <a:solidFill>
                  <a:srgbClr val="FF9900"/>
                </a:solidFill>
              </a:ln>
            </c:spPr>
          </c:marker>
          <c:cat>
            <c:numRef>
              <c:f>input!$C$86:$R$86</c:f>
              <c:numCache/>
            </c:numRef>
          </c:cat>
          <c:val>
            <c:numRef>
              <c:f>input!$C$89:$R$89</c:f>
              <c:numCache/>
            </c:numRef>
          </c:val>
          <c:smooth val="0"/>
        </c:ser>
        <c:ser>
          <c:idx val="3"/>
          <c:order val="3"/>
          <c:tx>
            <c:strRef>
              <c:f>input!$A$90</c:f>
              <c:strCache>
                <c:ptCount val="1"/>
                <c:pt idx="0">
                  <c:v>Ext. Range Elect.</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33CCCC"/>
              </a:solidFill>
              <a:ln>
                <a:solidFill>
                  <a:srgbClr val="33CCCC"/>
                </a:solidFill>
              </a:ln>
            </c:spPr>
          </c:marker>
          <c:cat>
            <c:numRef>
              <c:f>input!$C$86:$R$86</c:f>
              <c:numCache/>
            </c:numRef>
          </c:cat>
          <c:val>
            <c:numRef>
              <c:f>input!$C$90:$R$90</c:f>
              <c:numCache/>
            </c:numRef>
          </c:val>
          <c:smooth val="0"/>
        </c:ser>
        <c:marker val="1"/>
        <c:axId val="27008110"/>
        <c:axId val="45037687"/>
      </c:lineChart>
      <c:catAx>
        <c:axId val="27008110"/>
        <c:scaling>
          <c:orientation val="minMax"/>
        </c:scaling>
        <c:axPos val="b"/>
        <c:title>
          <c:tx>
            <c:rich>
              <a:bodyPr vert="horz" rot="0" anchor="ctr"/>
              <a:lstStyle/>
              <a:p>
                <a:pPr algn="ctr">
                  <a:defRPr/>
                </a:pPr>
                <a:r>
                  <a:rPr lang="en-US" cap="none" sz="1000" b="1" i="0" u="none" baseline="0">
                    <a:solidFill>
                      <a:srgbClr val="000000"/>
                    </a:solidFill>
                  </a:rPr>
                  <a:t>Years of operation</a:t>
                </a:r>
              </a:p>
            </c:rich>
          </c:tx>
          <c:layout>
            <c:manualLayout>
              <c:xMode val="factor"/>
              <c:yMode val="factor"/>
              <c:x val="0.00325"/>
              <c:y val="0.007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5037687"/>
        <c:crosses val="autoZero"/>
        <c:auto val="1"/>
        <c:lblOffset val="100"/>
        <c:tickLblSkip val="1"/>
        <c:noMultiLvlLbl val="0"/>
      </c:catAx>
      <c:valAx>
        <c:axId val="45037687"/>
        <c:scaling>
          <c:orientation val="minMax"/>
          <c:min val="0"/>
        </c:scaling>
        <c:axPos val="l"/>
        <c:majorGridlines>
          <c:spPr>
            <a:ln w="3175">
              <a:solidFill>
                <a:srgbClr val="808080"/>
              </a:solidFill>
            </a:ln>
          </c:spPr>
        </c:majorGridlines>
        <c:delete val="0"/>
        <c:numFmt formatCode="_(\$* #,##0_);_(\$* \(#,##0\);_(\$* &quot;-&quot;??_);_(@_)" sourceLinked="0"/>
        <c:majorTickMark val="out"/>
        <c:minorTickMark val="none"/>
        <c:tickLblPos val="nextTo"/>
        <c:spPr>
          <a:ln w="3175">
            <a:solidFill>
              <a:srgbClr val="808080"/>
            </a:solidFill>
          </a:ln>
        </c:spPr>
        <c:crossAx val="27008110"/>
        <c:crossesAt val="1"/>
        <c:crossBetween val="between"/>
        <c:dispUnits/>
        <c:majorUnit val="10000"/>
      </c:valAx>
      <c:spPr>
        <a:solidFill>
          <a:srgbClr val="FFFFFF"/>
        </a:solidFill>
        <a:ln w="3175">
          <a:noFill/>
        </a:ln>
      </c:spPr>
    </c:plotArea>
    <c:legend>
      <c:legendPos val="r"/>
      <c:layout>
        <c:manualLayout>
          <c:xMode val="edge"/>
          <c:yMode val="edge"/>
          <c:x val="0.62075"/>
          <c:y val="0.56675"/>
          <c:w val="0.254"/>
          <c:h val="0.27"/>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Annual greenhouse gas (GHG) emissions (lb.)</a:t>
            </a:r>
          </a:p>
        </c:rich>
      </c:tx>
      <c:layout>
        <c:manualLayout>
          <c:xMode val="factor"/>
          <c:yMode val="factor"/>
          <c:x val="-0.0015"/>
          <c:y val="0"/>
        </c:manualLayout>
      </c:layout>
      <c:spPr>
        <a:noFill/>
        <a:ln>
          <a:noFill/>
        </a:ln>
      </c:spPr>
    </c:title>
    <c:plotArea>
      <c:layout>
        <c:manualLayout>
          <c:xMode val="edge"/>
          <c:yMode val="edge"/>
          <c:x val="0.0155"/>
          <c:y val="0.2115"/>
          <c:w val="0.97375"/>
          <c:h val="0.759"/>
        </c:manualLayout>
      </c:layout>
      <c:barChart>
        <c:barDir val="bar"/>
        <c:grouping val="clustered"/>
        <c:varyColors val="0"/>
        <c:ser>
          <c:idx val="0"/>
          <c:order val="0"/>
          <c:tx>
            <c:strRef>
              <c:f>input!$B$57</c:f>
              <c:strCache>
                <c:ptCount val="1"/>
                <c:pt idx="0">
                  <c:v>Annual GHG Emissions</c:v>
                </c:pt>
              </c:strCache>
            </c:strRef>
          </c:tx>
          <c:spPr>
            <a:solidFill>
              <a:srgbClr val="00788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7A5021"/>
              </a:solidFill>
              <a:ln w="3175">
                <a:noFill/>
              </a:ln>
            </c:spPr>
          </c:dPt>
          <c:dPt>
            <c:idx val="1"/>
            <c:invertIfNegative val="0"/>
            <c:spPr>
              <a:solidFill>
                <a:srgbClr val="A8D13A"/>
              </a:solidFill>
              <a:ln w="3175">
                <a:noFill/>
              </a:ln>
            </c:spPr>
          </c:dPt>
          <c:dPt>
            <c:idx val="2"/>
            <c:invertIfNegative val="0"/>
            <c:spPr>
              <a:solidFill>
                <a:srgbClr val="F79440"/>
              </a:solidFill>
              <a:ln w="3175">
                <a:noFill/>
              </a:ln>
            </c:spPr>
          </c:dPt>
          <c:dPt>
            <c:idx val="3"/>
            <c:invertIfNegative val="0"/>
            <c:spPr>
              <a:solidFill>
                <a:srgbClr val="59C8DC"/>
              </a:solidFill>
              <a:ln w="3175">
                <a:noFill/>
              </a:ln>
            </c:spPr>
          </c:dPt>
          <c:dLbls>
            <c:numFmt formatCode="General" sourceLinked="1"/>
            <c:spPr>
              <a:no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input!$C$56:$F$56</c:f>
              <c:strCache/>
            </c:strRef>
          </c:cat>
          <c:val>
            <c:numRef>
              <c:f>input!$C$57:$F$57</c:f>
              <c:numCache/>
            </c:numRef>
          </c:val>
        </c:ser>
        <c:axId val="31024508"/>
        <c:axId val="27295501"/>
      </c:barChart>
      <c:catAx>
        <c:axId val="31024508"/>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27295501"/>
        <c:crosses val="autoZero"/>
        <c:auto val="1"/>
        <c:lblOffset val="100"/>
        <c:tickLblSkip val="1"/>
        <c:noMultiLvlLbl val="0"/>
      </c:catAx>
      <c:valAx>
        <c:axId val="2729550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defRPr>
            </a:pPr>
          </a:p>
        </c:txPr>
        <c:crossAx val="3102450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Accumulated discounted costs of ownership and operation in year 15</a:t>
            </a:r>
          </a:p>
        </c:rich>
      </c:tx>
      <c:layout>
        <c:manualLayout>
          <c:xMode val="factor"/>
          <c:yMode val="factor"/>
          <c:x val="0.03975"/>
          <c:y val="-0.0065"/>
        </c:manualLayout>
      </c:layout>
      <c:spPr>
        <a:noFill/>
        <a:ln w="3175">
          <a:noFill/>
        </a:ln>
      </c:spPr>
    </c:title>
    <c:plotArea>
      <c:layout>
        <c:manualLayout>
          <c:xMode val="edge"/>
          <c:yMode val="edge"/>
          <c:x val="0.038"/>
          <c:y val="0.21475"/>
          <c:w val="0.96125"/>
          <c:h val="0.76925"/>
        </c:manualLayout>
      </c:layout>
      <c:barChart>
        <c:barDir val="bar"/>
        <c:grouping val="clustered"/>
        <c:varyColors val="0"/>
        <c:ser>
          <c:idx val="0"/>
          <c:order val="0"/>
          <c:tx>
            <c:strRef>
              <c:f>input!$B$59</c:f>
              <c:strCache>
                <c:ptCount val="1"/>
                <c:pt idx="0">
                  <c:v>Yr. 15 Discounted Costs</c:v>
                </c:pt>
              </c:strCache>
            </c:strRef>
          </c:tx>
          <c:spPr>
            <a:solidFill>
              <a:srgbClr val="00788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7A5021"/>
              </a:solidFill>
              <a:ln w="3175">
                <a:noFill/>
              </a:ln>
            </c:spPr>
          </c:dPt>
          <c:dPt>
            <c:idx val="1"/>
            <c:invertIfNegative val="0"/>
            <c:spPr>
              <a:solidFill>
                <a:srgbClr val="A8D13A"/>
              </a:solidFill>
              <a:ln w="3175">
                <a:noFill/>
              </a:ln>
            </c:spPr>
          </c:dPt>
          <c:dPt>
            <c:idx val="2"/>
            <c:invertIfNegative val="0"/>
            <c:spPr>
              <a:solidFill>
                <a:srgbClr val="F79440"/>
              </a:solidFill>
              <a:ln w="3175">
                <a:noFill/>
              </a:ln>
            </c:spPr>
          </c:dPt>
          <c:dPt>
            <c:idx val="3"/>
            <c:invertIfNegative val="0"/>
            <c:spPr>
              <a:solidFill>
                <a:srgbClr val="59C8DC"/>
              </a:solidFill>
              <a:ln w="3175">
                <a:noFill/>
              </a:ln>
            </c:spPr>
          </c:dPt>
          <c:dLbls>
            <c:numFmt formatCode="General" sourceLinked="1"/>
            <c:spPr>
              <a:noFill/>
              <a:ln w="3175">
                <a:noFill/>
              </a:ln>
              <a:effectLst>
                <a:outerShdw dist="35921" dir="2700000" algn="br">
                  <a:prstClr val="black"/>
                </a:outerShdw>
              </a:effectLst>
            </c:spPr>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input!$C$56:$F$56</c:f>
              <c:strCache/>
            </c:strRef>
          </c:cat>
          <c:val>
            <c:numRef>
              <c:f>input!$C$59:$F$59</c:f>
              <c:numCache/>
            </c:numRef>
          </c:val>
        </c:ser>
        <c:axId val="53372026"/>
        <c:axId val="4284883"/>
      </c:barChart>
      <c:catAx>
        <c:axId val="53372026"/>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4284883"/>
        <c:crosses val="autoZero"/>
        <c:auto val="1"/>
        <c:lblOffset val="100"/>
        <c:tickLblSkip val="1"/>
        <c:noMultiLvlLbl val="0"/>
      </c:catAx>
      <c:valAx>
        <c:axId val="4284883"/>
        <c:scaling>
          <c:orientation val="minMax"/>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defRPr>
            </a:pPr>
          </a:p>
        </c:txPr>
        <c:crossAx val="53372026"/>
        <c:crossesAt val="1"/>
        <c:crossBetween val="between"/>
        <c:dispUnits/>
        <c:majorUnit val="10000"/>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xdr:colOff>
      <xdr:row>3</xdr:row>
      <xdr:rowOff>0</xdr:rowOff>
    </xdr:from>
    <xdr:to>
      <xdr:col>12</xdr:col>
      <xdr:colOff>657225</xdr:colOff>
      <xdr:row>22</xdr:row>
      <xdr:rowOff>38100</xdr:rowOff>
    </xdr:to>
    <xdr:graphicFrame>
      <xdr:nvGraphicFramePr>
        <xdr:cNvPr id="1" name="Chart 1"/>
        <xdr:cNvGraphicFramePr/>
      </xdr:nvGraphicFramePr>
      <xdr:xfrm>
        <a:off x="7486650" y="1962150"/>
        <a:ext cx="6086475" cy="3648075"/>
      </xdr:xfrm>
      <a:graphic>
        <a:graphicData uri="http://schemas.openxmlformats.org/drawingml/2006/chart">
          <c:chart xmlns:c="http://schemas.openxmlformats.org/drawingml/2006/chart" r:id="rId1"/>
        </a:graphicData>
      </a:graphic>
    </xdr:graphicFrame>
    <xdr:clientData/>
  </xdr:twoCellAnchor>
  <xdr:twoCellAnchor>
    <xdr:from>
      <xdr:col>6</xdr:col>
      <xdr:colOff>66675</xdr:colOff>
      <xdr:row>29</xdr:row>
      <xdr:rowOff>152400</xdr:rowOff>
    </xdr:from>
    <xdr:to>
      <xdr:col>13</xdr:col>
      <xdr:colOff>0</xdr:colOff>
      <xdr:row>38</xdr:row>
      <xdr:rowOff>114300</xdr:rowOff>
    </xdr:to>
    <xdr:graphicFrame>
      <xdr:nvGraphicFramePr>
        <xdr:cNvPr id="2" name="Chart 4"/>
        <xdr:cNvGraphicFramePr/>
      </xdr:nvGraphicFramePr>
      <xdr:xfrm>
        <a:off x="7486650" y="7305675"/>
        <a:ext cx="6096000" cy="1619250"/>
      </xdr:xfrm>
      <a:graphic>
        <a:graphicData uri="http://schemas.openxmlformats.org/drawingml/2006/chart">
          <c:chart xmlns:c="http://schemas.openxmlformats.org/drawingml/2006/chart" r:id="rId2"/>
        </a:graphicData>
      </a:graphic>
    </xdr:graphicFrame>
    <xdr:clientData/>
  </xdr:twoCellAnchor>
  <xdr:twoCellAnchor>
    <xdr:from>
      <xdr:col>6</xdr:col>
      <xdr:colOff>66675</xdr:colOff>
      <xdr:row>22</xdr:row>
      <xdr:rowOff>104775</xdr:rowOff>
    </xdr:from>
    <xdr:to>
      <xdr:col>12</xdr:col>
      <xdr:colOff>657225</xdr:colOff>
      <xdr:row>29</xdr:row>
      <xdr:rowOff>85725</xdr:rowOff>
    </xdr:to>
    <xdr:graphicFrame>
      <xdr:nvGraphicFramePr>
        <xdr:cNvPr id="3" name="Chart 3"/>
        <xdr:cNvGraphicFramePr/>
      </xdr:nvGraphicFramePr>
      <xdr:xfrm>
        <a:off x="7486650" y="5676900"/>
        <a:ext cx="6086475" cy="1562100"/>
      </xdr:xfrm>
      <a:graphic>
        <a:graphicData uri="http://schemas.openxmlformats.org/drawingml/2006/chart">
          <c:chart xmlns:c="http://schemas.openxmlformats.org/drawingml/2006/chart" r:id="rId3"/>
        </a:graphicData>
      </a:graphic>
    </xdr:graphicFrame>
    <xdr:clientData/>
  </xdr:twoCellAnchor>
  <xdr:twoCellAnchor editAs="oneCell">
    <xdr:from>
      <xdr:col>8</xdr:col>
      <xdr:colOff>457200</xdr:colOff>
      <xdr:row>0</xdr:row>
      <xdr:rowOff>171450</xdr:rowOff>
    </xdr:from>
    <xdr:to>
      <xdr:col>12</xdr:col>
      <xdr:colOff>409575</xdr:colOff>
      <xdr:row>0</xdr:row>
      <xdr:rowOff>495300</xdr:rowOff>
    </xdr:to>
    <xdr:pic>
      <xdr:nvPicPr>
        <xdr:cNvPr id="4" name="Picture 5" descr="horiz-m-wdmk-ext-goldM-white-cmyk.png"/>
        <xdr:cNvPicPr preferRelativeResize="1">
          <a:picLocks noChangeAspect="1"/>
        </xdr:cNvPicPr>
      </xdr:nvPicPr>
      <xdr:blipFill>
        <a:blip r:embed="rId4"/>
        <a:stretch>
          <a:fillRect/>
        </a:stretch>
      </xdr:blipFill>
      <xdr:spPr>
        <a:xfrm>
          <a:off x="9515475" y="171450"/>
          <a:ext cx="3810000" cy="323850"/>
        </a:xfrm>
        <a:prstGeom prst="rect">
          <a:avLst/>
        </a:prstGeom>
        <a:noFill/>
        <a:ln w="9525" cmpd="sng">
          <a:noFill/>
        </a:ln>
      </xdr:spPr>
    </xdr:pic>
    <xdr:clientData/>
  </xdr:twoCellAnchor>
  <xdr:twoCellAnchor>
    <xdr:from>
      <xdr:col>0</xdr:col>
      <xdr:colOff>0</xdr:colOff>
      <xdr:row>38</xdr:row>
      <xdr:rowOff>171450</xdr:rowOff>
    </xdr:from>
    <xdr:to>
      <xdr:col>13</xdr:col>
      <xdr:colOff>0</xdr:colOff>
      <xdr:row>52</xdr:row>
      <xdr:rowOff>0</xdr:rowOff>
    </xdr:to>
    <xdr:sp>
      <xdr:nvSpPr>
        <xdr:cNvPr id="5" name="TextBox 6"/>
        <xdr:cNvSpPr txBox="1">
          <a:spLocks noChangeArrowheads="1"/>
        </xdr:cNvSpPr>
      </xdr:nvSpPr>
      <xdr:spPr>
        <a:xfrm>
          <a:off x="0" y="8982075"/>
          <a:ext cx="13582650" cy="2752725"/>
        </a:xfrm>
        <a:prstGeom prst="rect">
          <a:avLst/>
        </a:prstGeom>
        <a:solidFill>
          <a:srgbClr val="F2F2F2"/>
        </a:solidFill>
        <a:ln w="9525" cmpd="sng">
          <a:solidFill>
            <a:srgbClr val="BCBCBC"/>
          </a:solidFill>
          <a:headEnd type="none"/>
          <a:tailEnd type="none"/>
        </a:ln>
      </xdr:spPr>
      <xdr:txBody>
        <a:bodyPr vertOverflow="clip" wrap="square"/>
        <a:p>
          <a:pPr algn="l">
            <a:defRPr/>
          </a:pPr>
          <a:r>
            <a:rPr lang="en-US" cap="none" sz="3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Instructions
</a:t>
          </a:r>
          <a:r>
            <a:rPr lang="en-US" cap="none" sz="1100" b="0" i="0" u="none" baseline="0">
              <a:solidFill>
                <a:srgbClr val="000000"/>
              </a:solidFill>
              <a:latin typeface="Calibri"/>
              <a:ea typeface="Calibri"/>
              <a:cs typeface="Calibri"/>
            </a:rPr>
            <a:t>Enter appropriate values in the cells masked in yellow. Then note on the graph which type of vehicle has lower accumulated discounted costs in a particular year or for the life of the vehicle.
</a:t>
          </a:r>
          <a:r>
            <a:rPr lang="en-US" cap="none" sz="1100" b="0" i="0" u="none" baseline="0">
              <a:solidFill>
                <a:srgbClr val="000000"/>
              </a:solidFill>
              <a:latin typeface="Calibri"/>
              <a:ea typeface="Calibri"/>
              <a:cs typeface="Calibri"/>
            </a:rPr>
            <a:t>If the lines corresponding to the alternative cars are below the blue line on the graph, then the alternative vehicles' ownership and operation are less than conventional in that year, consistent with all assumptions made.
</a:t>
          </a:r>
          <a:r>
            <a:rPr lang="en-US" cap="none" sz="1100" b="1" i="0" u="none" baseline="0">
              <a:solidFill>
                <a:srgbClr val="000000"/>
              </a:solidFill>
              <a:latin typeface="Calibri"/>
              <a:ea typeface="Calibri"/>
              <a:cs typeface="Calibri"/>
            </a:rPr>
            <a:t>About</a:t>
          </a:r>
          <a:r>
            <a:rPr lang="en-US" cap="none" sz="1100" b="1" i="0" u="none" baseline="0">
              <a:solidFill>
                <a:srgbClr val="000000"/>
              </a:solidFill>
              <a:latin typeface="Calibri"/>
              <a:ea typeface="Calibri"/>
              <a:cs typeface="Calibri"/>
            </a:rPr>
            <a:t> the variables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spreadsheet is designed for sensitivity analysis, so it is good to systematically try different values in the yellow-masked cells.
</a:t>
          </a:r>
          <a:r>
            <a:rPr lang="en-US" cap="none" sz="1100" b="0" i="0" u="none" baseline="0">
              <a:solidFill>
                <a:srgbClr val="000000"/>
              </a:solidFill>
              <a:latin typeface="Calibri"/>
              <a:ea typeface="Calibri"/>
              <a:cs typeface="Calibri"/>
            </a:rPr>
            <a:t>The availability and amount of the income tax credit depends on the particular vehicle, the number of vehicles sold by the carmaker, and the gasoline savings of the vehicle.  
</a:t>
          </a:r>
          <a:r>
            <a:rPr lang="en-US" cap="none" sz="1100" b="0" i="0" u="none" baseline="0">
              <a:solidFill>
                <a:srgbClr val="000000"/>
              </a:solidFill>
              <a:latin typeface="Calibri"/>
              <a:ea typeface="Calibri"/>
              <a:cs typeface="Calibri"/>
            </a:rPr>
            <a:t>Check www.irs.gov to learn about the income tax credit available for various vehicles.
</a:t>
          </a:r>
          <a:r>
            <a:rPr lang="en-US" cap="none" sz="1100" b="0" i="0" u="none" baseline="0">
              <a:solidFill>
                <a:srgbClr val="000000"/>
              </a:solidFill>
              <a:latin typeface="Calibri"/>
              <a:ea typeface="Calibri"/>
              <a:cs typeface="Calibri"/>
            </a:rPr>
            <a:t>This spreadsheet conservatively assumes the replacement of the battery in year eight with default costs of $2,000 and $8,000 for the hybrids and EVs, respectively. Salvaged batteries may be available at half that price.
</a:t>
          </a:r>
          <a:r>
            <a:rPr lang="en-US" cap="none" sz="1100" b="0" i="0" u="none" baseline="0">
              <a:solidFill>
                <a:srgbClr val="000000"/>
              </a:solidFill>
              <a:latin typeface="Calibri"/>
              <a:ea typeface="Calibri"/>
              <a:cs typeface="Calibri"/>
            </a:rPr>
            <a:t>Gas and electric price levels over the life of a car purchased today are sources  of uncertainty, but this tool allows you to see the effects  of average prices applied over the entire 15 year life of the car.
</a:t>
          </a:r>
          <a:r>
            <a:rPr lang="en-US" cap="none" sz="1100" b="0" i="0" u="none" baseline="0">
              <a:solidFill>
                <a:srgbClr val="000000"/>
              </a:solidFill>
              <a:latin typeface="Calibri"/>
              <a:ea typeface="Calibri"/>
              <a:cs typeface="Calibri"/>
            </a:rPr>
            <a:t>Gasoline and electricity may cost more in the future due to emissions permit fees that may be charged on the Greenhouse Gases (GHG) that are emitted from use of the gasoline or generation of the electricity. 
</a:t>
          </a:r>
          <a:r>
            <a:rPr lang="en-US" cap="none" sz="1100" b="0" i="0" u="none" baseline="0">
              <a:solidFill>
                <a:srgbClr val="000000"/>
              </a:solidFill>
              <a:latin typeface="Calibri"/>
              <a:ea typeface="Calibri"/>
              <a:cs typeface="Calibri"/>
            </a:rPr>
            <a:t>Remember, if annual miles driven are low, it is harder to justify more expensive vehicles even if they have low fuel costs per mile.
</a:t>
          </a:r>
          <a:r>
            <a:rPr lang="en-US" cap="none" sz="1100" b="0" i="0" u="none" baseline="0">
              <a:solidFill>
                <a:srgbClr val="000000"/>
              </a:solidFill>
              <a:latin typeface="Calibri"/>
              <a:ea typeface="Calibri"/>
              <a:cs typeface="Calibri"/>
            </a:rPr>
            <a:t>Higher price levels for gasoline make purchase of hybrid and electric cars easier to justify. Consumers must determine if the range limitations of electric vehicles (EV) will be acceptable to their needs.
</a:t>
          </a:r>
          <a:r>
            <a:rPr lang="en-US" cap="none" sz="1100" b="0" i="0" u="none" baseline="0">
              <a:solidFill>
                <a:srgbClr val="000000"/>
              </a:solidFill>
              <a:latin typeface="Calibri"/>
              <a:ea typeface="Calibri"/>
              <a:cs typeface="Calibri"/>
            </a:rPr>
            <a:t>The discount rate you enter reflects the time preference you have for money or the opportunities you expect in rate of return for your investments.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2</xdr:row>
      <xdr:rowOff>38100</xdr:rowOff>
    </xdr:from>
    <xdr:to>
      <xdr:col>3</xdr:col>
      <xdr:colOff>514350</xdr:colOff>
      <xdr:row>5</xdr:row>
      <xdr:rowOff>0</xdr:rowOff>
    </xdr:to>
    <xdr:sp>
      <xdr:nvSpPr>
        <xdr:cNvPr id="1" name="Down Arrow 1"/>
        <xdr:cNvSpPr>
          <a:spLocks/>
        </xdr:cNvSpPr>
      </xdr:nvSpPr>
      <xdr:spPr>
        <a:xfrm>
          <a:off x="2562225" y="428625"/>
          <a:ext cx="466725" cy="476250"/>
        </a:xfrm>
        <a:prstGeom prst="downArrow">
          <a:avLst>
            <a:gd name="adj" fmla="val 310"/>
          </a:avLst>
        </a:prstGeom>
        <a:solidFill>
          <a:srgbClr val="00788E"/>
        </a:solidFill>
        <a:ln w="25400" cmpd="sng">
          <a:solidFill>
            <a:srgbClr val="005667"/>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68</xdr:row>
      <xdr:rowOff>95250</xdr:rowOff>
    </xdr:from>
    <xdr:to>
      <xdr:col>3</xdr:col>
      <xdr:colOff>704850</xdr:colOff>
      <xdr:row>74</xdr:row>
      <xdr:rowOff>76200</xdr:rowOff>
    </xdr:to>
    <xdr:sp>
      <xdr:nvSpPr>
        <xdr:cNvPr id="2" name="Up Arrow 2"/>
        <xdr:cNvSpPr>
          <a:spLocks/>
        </xdr:cNvSpPr>
      </xdr:nvSpPr>
      <xdr:spPr>
        <a:xfrm>
          <a:off x="2600325" y="11649075"/>
          <a:ext cx="619125" cy="952500"/>
        </a:xfrm>
        <a:prstGeom prst="upArrow">
          <a:avLst>
            <a:gd name="adj" fmla="val -17291"/>
          </a:avLst>
        </a:prstGeom>
        <a:solidFill>
          <a:srgbClr val="00788E"/>
        </a:solidFill>
        <a:ln w="25400" cmpd="sng">
          <a:solidFill>
            <a:srgbClr val="005667"/>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xdr:row>
      <xdr:rowOff>0</xdr:rowOff>
    </xdr:from>
    <xdr:to>
      <xdr:col>12</xdr:col>
      <xdr:colOff>1152525</xdr:colOff>
      <xdr:row>65</xdr:row>
      <xdr:rowOff>57150</xdr:rowOff>
    </xdr:to>
    <xdr:pic>
      <xdr:nvPicPr>
        <xdr:cNvPr id="1" name="Picture 1"/>
        <xdr:cNvPicPr preferRelativeResize="1">
          <a:picLocks noChangeAspect="1"/>
        </xdr:cNvPicPr>
      </xdr:nvPicPr>
      <xdr:blipFill>
        <a:blip r:embed="rId1"/>
        <a:stretch>
          <a:fillRect/>
        </a:stretch>
      </xdr:blipFill>
      <xdr:spPr>
        <a:xfrm>
          <a:off x="247650" y="723900"/>
          <a:ext cx="7896225" cy="9934575"/>
        </a:xfrm>
        <a:prstGeom prst="rect">
          <a:avLst/>
        </a:prstGeom>
        <a:noFill/>
        <a:ln w="9525" cmpd="sng">
          <a:noFill/>
        </a:ln>
      </xdr:spPr>
    </xdr:pic>
    <xdr:clientData/>
  </xdr:twoCellAnchor>
  <xdr:twoCellAnchor>
    <xdr:from>
      <xdr:col>12</xdr:col>
      <xdr:colOff>419100</xdr:colOff>
      <xdr:row>0</xdr:row>
      <xdr:rowOff>19050</xdr:rowOff>
    </xdr:from>
    <xdr:to>
      <xdr:col>12</xdr:col>
      <xdr:colOff>885825</xdr:colOff>
      <xdr:row>3</xdr:row>
      <xdr:rowOff>114300</xdr:rowOff>
    </xdr:to>
    <xdr:sp>
      <xdr:nvSpPr>
        <xdr:cNvPr id="2" name="Down Arrow 2"/>
        <xdr:cNvSpPr>
          <a:spLocks/>
        </xdr:cNvSpPr>
      </xdr:nvSpPr>
      <xdr:spPr>
        <a:xfrm>
          <a:off x="7410450" y="19050"/>
          <a:ext cx="466725" cy="657225"/>
        </a:xfrm>
        <a:prstGeom prst="downArrow">
          <a:avLst>
            <a:gd name="adj" fmla="val 12587"/>
          </a:avLst>
        </a:prstGeom>
        <a:solidFill>
          <a:srgbClr val="FF0000"/>
        </a:solidFill>
        <a:ln w="25400" cmpd="sng">
          <a:solidFill>
            <a:srgbClr val="005667"/>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514350</xdr:colOff>
      <xdr:row>36</xdr:row>
      <xdr:rowOff>142875</xdr:rowOff>
    </xdr:from>
    <xdr:to>
      <xdr:col>12</xdr:col>
      <xdr:colOff>981075</xdr:colOff>
      <xdr:row>42</xdr:row>
      <xdr:rowOff>114300</xdr:rowOff>
    </xdr:to>
    <xdr:sp>
      <xdr:nvSpPr>
        <xdr:cNvPr id="3" name="Up Arrow 3"/>
        <xdr:cNvSpPr>
          <a:spLocks/>
        </xdr:cNvSpPr>
      </xdr:nvSpPr>
      <xdr:spPr>
        <a:xfrm>
          <a:off x="7505700" y="6048375"/>
          <a:ext cx="466725" cy="942975"/>
        </a:xfrm>
        <a:prstGeom prst="upArrow">
          <a:avLst>
            <a:gd name="adj" fmla="val -25231"/>
          </a:avLst>
        </a:prstGeom>
        <a:solidFill>
          <a:srgbClr val="FF0000"/>
        </a:solidFill>
        <a:ln w="25400" cmpd="sng">
          <a:solidFill>
            <a:srgbClr val="005667"/>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EFANS">
      <a:dk1>
        <a:sysClr val="windowText" lastClr="000000"/>
      </a:dk1>
      <a:lt1>
        <a:sysClr val="window" lastClr="FFFFFF"/>
      </a:lt1>
      <a:dk2>
        <a:srgbClr val="7A0019"/>
      </a:dk2>
      <a:lt2>
        <a:srgbClr val="FFCC33"/>
      </a:lt2>
      <a:accent1>
        <a:srgbClr val="00788E"/>
      </a:accent1>
      <a:accent2>
        <a:srgbClr val="A8D13A"/>
      </a:accent2>
      <a:accent3>
        <a:srgbClr val="F79440"/>
      </a:accent3>
      <a:accent4>
        <a:srgbClr val="59C8DC"/>
      </a:accent4>
      <a:accent5>
        <a:srgbClr val="D2B682"/>
      </a:accent5>
      <a:accent6>
        <a:srgbClr val="FFE02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eia.doe.gov/cneaf/electricity/esr/table5.html" TargetMode="Externa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R92"/>
  <sheetViews>
    <sheetView tabSelected="1" zoomScale="75" zoomScaleNormal="75" workbookViewId="0" topLeftCell="A1">
      <selection activeCell="A4" sqref="A4:B4"/>
    </sheetView>
  </sheetViews>
  <sheetFormatPr defaultColWidth="9.140625" defaultRowHeight="12.75"/>
  <cols>
    <col min="1" max="1" width="38.00390625" style="79" customWidth="1"/>
    <col min="2" max="2" width="15.57421875" style="79" customWidth="1"/>
    <col min="3" max="6" width="14.421875" style="79" customWidth="1"/>
    <col min="7" max="7" width="16.00390625" style="79" customWidth="1"/>
    <col min="8" max="8" width="8.57421875" style="79" customWidth="1"/>
    <col min="9" max="9" width="20.8515625" style="79" customWidth="1"/>
    <col min="10" max="10" width="12.57421875" style="79" bestFit="1" customWidth="1"/>
    <col min="11" max="11" width="13.28125" style="79" customWidth="1"/>
    <col min="12" max="12" width="11.140625" style="79" customWidth="1"/>
    <col min="13" max="13" width="10.00390625" style="79" customWidth="1"/>
    <col min="14" max="16" width="12.57421875" style="79" bestFit="1" customWidth="1"/>
    <col min="17" max="17" width="13.00390625" style="79" bestFit="1" customWidth="1"/>
    <col min="18" max="18" width="10.140625" style="79" customWidth="1"/>
    <col min="19" max="16384" width="9.140625" style="79" customWidth="1"/>
  </cols>
  <sheetData>
    <row r="1" spans="1:17" s="170" customFormat="1" ht="51" customHeight="1">
      <c r="A1" s="171" t="s">
        <v>213</v>
      </c>
      <c r="B1" s="163"/>
      <c r="C1" s="164"/>
      <c r="D1" s="165"/>
      <c r="E1" s="166"/>
      <c r="F1" s="183"/>
      <c r="G1" s="167"/>
      <c r="H1" s="167"/>
      <c r="I1" s="167"/>
      <c r="J1" s="167"/>
      <c r="K1" s="167"/>
      <c r="L1" s="167"/>
      <c r="M1" s="167"/>
      <c r="N1" s="168"/>
      <c r="O1" s="168"/>
      <c r="P1" s="169"/>
      <c r="Q1" s="169"/>
    </row>
    <row r="2" spans="1:17" s="170" customFormat="1" ht="70.5" customHeight="1">
      <c r="A2" s="256" t="s">
        <v>257</v>
      </c>
      <c r="B2" s="256"/>
      <c r="C2" s="256"/>
      <c r="D2" s="256"/>
      <c r="E2" s="256"/>
      <c r="F2" s="256"/>
      <c r="G2" s="256"/>
      <c r="H2" s="256"/>
      <c r="I2" s="256"/>
      <c r="J2" s="256"/>
      <c r="K2" s="256"/>
      <c r="L2" s="248"/>
      <c r="M2" s="248"/>
      <c r="N2" s="168"/>
      <c r="O2" s="168"/>
      <c r="P2" s="169"/>
      <c r="Q2" s="169"/>
    </row>
    <row r="3" spans="1:17" s="170" customFormat="1" ht="33" customHeight="1">
      <c r="A3" s="257" t="s">
        <v>260</v>
      </c>
      <c r="B3" s="257"/>
      <c r="C3" s="257"/>
      <c r="D3" s="257"/>
      <c r="E3" s="257"/>
      <c r="F3" s="257"/>
      <c r="G3" s="257"/>
      <c r="H3" s="257"/>
      <c r="I3" s="257"/>
      <c r="J3" s="257"/>
      <c r="K3" s="257"/>
      <c r="L3" s="248"/>
      <c r="M3" s="248"/>
      <c r="N3" s="168"/>
      <c r="O3" s="168"/>
      <c r="P3" s="169"/>
      <c r="Q3" s="169"/>
    </row>
    <row r="4" spans="1:17" ht="40.5" customHeight="1">
      <c r="A4" s="252" t="s">
        <v>222</v>
      </c>
      <c r="B4" s="253"/>
      <c r="C4" s="182" t="s">
        <v>249</v>
      </c>
      <c r="D4" s="111" t="s">
        <v>250</v>
      </c>
      <c r="E4" s="112" t="s">
        <v>251</v>
      </c>
      <c r="F4" s="113" t="s">
        <v>252</v>
      </c>
      <c r="G4" s="91"/>
      <c r="H4" s="91"/>
      <c r="I4" s="91"/>
      <c r="J4" s="91"/>
      <c r="K4" s="91"/>
      <c r="L4" s="91"/>
      <c r="M4" s="91"/>
      <c r="N4" s="95"/>
      <c r="O4" s="95"/>
      <c r="P4" s="90"/>
      <c r="Q4" s="90"/>
    </row>
    <row r="5" spans="1:17" ht="12.75">
      <c r="A5" s="98" t="s">
        <v>254</v>
      </c>
      <c r="B5" s="98"/>
      <c r="C5" s="114">
        <v>19000</v>
      </c>
      <c r="D5" s="114">
        <v>24000</v>
      </c>
      <c r="E5" s="115">
        <v>34780</v>
      </c>
      <c r="F5" s="115">
        <v>43000</v>
      </c>
      <c r="G5" s="91"/>
      <c r="H5" s="91"/>
      <c r="I5" s="91"/>
      <c r="J5" s="91"/>
      <c r="K5" s="91"/>
      <c r="L5" s="91"/>
      <c r="M5" s="91"/>
      <c r="N5" s="90"/>
      <c r="O5" s="90"/>
      <c r="P5" s="90"/>
      <c r="Q5" s="90"/>
    </row>
    <row r="6" spans="1:17" ht="13.5" customHeight="1">
      <c r="A6" s="100" t="s">
        <v>214</v>
      </c>
      <c r="B6" s="98"/>
      <c r="C6" s="114">
        <v>5000</v>
      </c>
      <c r="D6" s="114">
        <v>5000</v>
      </c>
      <c r="E6" s="114">
        <v>5000</v>
      </c>
      <c r="F6" s="114">
        <v>5000</v>
      </c>
      <c r="G6" s="91"/>
      <c r="H6" s="91"/>
      <c r="I6" s="91"/>
      <c r="J6" s="91"/>
      <c r="K6" s="92"/>
      <c r="L6" s="91"/>
      <c r="M6" s="91"/>
      <c r="N6" s="90"/>
      <c r="O6" s="90"/>
      <c r="P6" s="90"/>
      <c r="Q6" s="90"/>
    </row>
    <row r="7" spans="1:18" ht="15" customHeight="1">
      <c r="A7" s="100" t="s">
        <v>215</v>
      </c>
      <c r="B7" s="98"/>
      <c r="C7" s="116">
        <v>60</v>
      </c>
      <c r="D7" s="116">
        <v>60</v>
      </c>
      <c r="E7" s="117">
        <v>60</v>
      </c>
      <c r="F7" s="117">
        <v>60</v>
      </c>
      <c r="G7" s="91"/>
      <c r="H7" s="91"/>
      <c r="I7" s="91"/>
      <c r="J7" s="91"/>
      <c r="K7" s="92"/>
      <c r="L7" s="91"/>
      <c r="M7" s="91"/>
      <c r="N7" s="90"/>
      <c r="O7" s="90"/>
      <c r="P7" s="90"/>
      <c r="Q7" s="90"/>
      <c r="R7" s="39"/>
    </row>
    <row r="8" spans="1:17" ht="12.75">
      <c r="A8" s="100" t="s">
        <v>216</v>
      </c>
      <c r="B8" s="98"/>
      <c r="C8" s="118">
        <v>0.05</v>
      </c>
      <c r="D8" s="118">
        <v>0.05</v>
      </c>
      <c r="E8" s="118">
        <v>0.05</v>
      </c>
      <c r="F8" s="118">
        <v>0.05</v>
      </c>
      <c r="G8" s="91"/>
      <c r="H8" s="91"/>
      <c r="I8" s="91"/>
      <c r="J8" s="91"/>
      <c r="K8" s="92"/>
      <c r="L8" s="91"/>
      <c r="M8" s="91"/>
      <c r="N8" s="90"/>
      <c r="O8" s="90"/>
      <c r="P8" s="90"/>
      <c r="Q8" s="90"/>
    </row>
    <row r="9" spans="1:17" ht="12.75">
      <c r="A9" s="98" t="s">
        <v>223</v>
      </c>
      <c r="B9" s="99"/>
      <c r="C9" s="119"/>
      <c r="D9" s="114">
        <v>0</v>
      </c>
      <c r="E9" s="114">
        <v>8500</v>
      </c>
      <c r="F9" s="114">
        <v>8500</v>
      </c>
      <c r="G9" s="91"/>
      <c r="H9" s="91"/>
      <c r="I9" s="91"/>
      <c r="J9" s="91"/>
      <c r="K9" s="92"/>
      <c r="L9" s="91"/>
      <c r="M9" s="91"/>
      <c r="N9" s="90"/>
      <c r="O9" s="90"/>
      <c r="P9" s="90"/>
      <c r="Q9" s="90"/>
    </row>
    <row r="10" spans="1:17" ht="12.75">
      <c r="A10" s="98" t="s">
        <v>217</v>
      </c>
      <c r="B10" s="98"/>
      <c r="C10" s="120"/>
      <c r="D10" s="114">
        <v>2000</v>
      </c>
      <c r="E10" s="114">
        <v>8000</v>
      </c>
      <c r="F10" s="114">
        <v>8000</v>
      </c>
      <c r="G10" s="91"/>
      <c r="H10" s="91"/>
      <c r="I10" s="91"/>
      <c r="J10" s="91"/>
      <c r="K10" s="92"/>
      <c r="L10" s="91"/>
      <c r="M10" s="91"/>
      <c r="N10" s="90"/>
      <c r="O10" s="90"/>
      <c r="P10" s="90"/>
      <c r="Q10" s="90"/>
    </row>
    <row r="11" spans="1:17" ht="12.75">
      <c r="A11" s="98" t="s">
        <v>218</v>
      </c>
      <c r="B11" s="98"/>
      <c r="C11" s="121">
        <v>29</v>
      </c>
      <c r="D11" s="121">
        <v>45</v>
      </c>
      <c r="E11" s="122"/>
      <c r="F11" s="123">
        <v>34</v>
      </c>
      <c r="G11" s="91"/>
      <c r="H11" s="91"/>
      <c r="I11" s="91"/>
      <c r="J11" s="91"/>
      <c r="K11" s="91"/>
      <c r="L11" s="91"/>
      <c r="M11" s="91"/>
      <c r="N11" s="90"/>
      <c r="O11" s="93"/>
      <c r="P11" s="90"/>
      <c r="Q11" s="90"/>
    </row>
    <row r="12" spans="1:17" ht="12.75">
      <c r="A12" s="98" t="s">
        <v>219</v>
      </c>
      <c r="B12" s="98"/>
      <c r="C12" s="124"/>
      <c r="D12" s="124"/>
      <c r="E12" s="125">
        <v>4</v>
      </c>
      <c r="F12" s="125">
        <v>4</v>
      </c>
      <c r="G12" s="91"/>
      <c r="H12" s="91"/>
      <c r="I12" s="91"/>
      <c r="J12" s="91"/>
      <c r="K12" s="91"/>
      <c r="L12" s="91"/>
      <c r="M12" s="91"/>
      <c r="N12" s="90"/>
      <c r="O12" s="90"/>
      <c r="P12" s="90"/>
      <c r="Q12" s="90"/>
    </row>
    <row r="13" spans="1:17" ht="12.75">
      <c r="A13" s="98" t="s">
        <v>220</v>
      </c>
      <c r="B13" s="101">
        <v>15000</v>
      </c>
      <c r="C13" s="124">
        <v>0</v>
      </c>
      <c r="D13" s="124"/>
      <c r="E13" s="126"/>
      <c r="F13" s="126"/>
      <c r="G13" s="91"/>
      <c r="H13" s="91"/>
      <c r="I13" s="91"/>
      <c r="J13" s="91"/>
      <c r="K13" s="91"/>
      <c r="L13" s="91"/>
      <c r="M13" s="91"/>
      <c r="N13" s="90"/>
      <c r="O13" s="90"/>
      <c r="P13" s="90"/>
      <c r="Q13" s="90"/>
    </row>
    <row r="14" spans="1:17" ht="12.75">
      <c r="A14" s="98" t="s">
        <v>221</v>
      </c>
      <c r="B14" s="98"/>
      <c r="C14" s="124"/>
      <c r="D14" s="124"/>
      <c r="E14" s="127">
        <f>B13</f>
        <v>15000</v>
      </c>
      <c r="F14" s="128">
        <v>8000</v>
      </c>
      <c r="G14" s="91"/>
      <c r="H14" s="91"/>
      <c r="I14" s="91"/>
      <c r="J14" s="91"/>
      <c r="K14" s="91"/>
      <c r="L14" s="91"/>
      <c r="M14" s="91"/>
      <c r="N14" s="90"/>
      <c r="O14" s="90"/>
      <c r="P14" s="90"/>
      <c r="Q14" s="90"/>
    </row>
    <row r="15" spans="1:17" ht="18" customHeight="1">
      <c r="A15" s="110" t="s">
        <v>224</v>
      </c>
      <c r="B15" s="110"/>
      <c r="C15" s="110"/>
      <c r="D15" s="110"/>
      <c r="E15" s="110"/>
      <c r="F15" s="151"/>
      <c r="G15" s="91"/>
      <c r="H15" s="91"/>
      <c r="I15" s="91"/>
      <c r="J15" s="91"/>
      <c r="K15" s="91"/>
      <c r="L15" s="91"/>
      <c r="M15" s="91"/>
      <c r="N15" s="90"/>
      <c r="O15" s="90"/>
      <c r="P15" s="90"/>
      <c r="Q15" s="90"/>
    </row>
    <row r="16" spans="1:17" ht="12.75" customHeight="1">
      <c r="A16" s="98" t="s">
        <v>225</v>
      </c>
      <c r="B16" s="102">
        <v>4</v>
      </c>
      <c r="C16" s="129"/>
      <c r="D16" s="130"/>
      <c r="E16" s="130"/>
      <c r="F16" s="130"/>
      <c r="G16" s="91"/>
      <c r="H16" s="91"/>
      <c r="I16" s="91"/>
      <c r="J16" s="91"/>
      <c r="K16" s="91"/>
      <c r="L16" s="91"/>
      <c r="M16" s="91"/>
      <c r="N16" s="90"/>
      <c r="O16" s="90"/>
      <c r="P16" s="90"/>
      <c r="Q16" s="90"/>
    </row>
    <row r="17" spans="1:17" ht="14.25" customHeight="1">
      <c r="A17" s="100" t="s">
        <v>255</v>
      </c>
      <c r="B17" s="103">
        <v>0.25</v>
      </c>
      <c r="C17" s="131" t="s">
        <v>226</v>
      </c>
      <c r="D17" s="130"/>
      <c r="E17" s="130"/>
      <c r="F17" s="132"/>
      <c r="G17" s="91"/>
      <c r="H17" s="91"/>
      <c r="I17" s="91"/>
      <c r="J17" s="91"/>
      <c r="K17" s="91"/>
      <c r="L17" s="91"/>
      <c r="M17" s="91"/>
      <c r="N17" s="90"/>
      <c r="O17" s="90"/>
      <c r="P17" s="90"/>
      <c r="Q17" s="90"/>
    </row>
    <row r="18" spans="1:17" ht="15" customHeight="1">
      <c r="A18" s="250" t="s">
        <v>227</v>
      </c>
      <c r="B18" s="104">
        <v>0.0974</v>
      </c>
      <c r="C18" s="133"/>
      <c r="D18" s="130"/>
      <c r="E18" s="130"/>
      <c r="F18" s="130"/>
      <c r="G18" s="91"/>
      <c r="H18" s="91"/>
      <c r="I18" s="91"/>
      <c r="J18" s="91"/>
      <c r="K18" s="91"/>
      <c r="L18" s="91"/>
      <c r="M18" s="91"/>
      <c r="N18" s="90"/>
      <c r="O18" s="90"/>
      <c r="P18" s="90"/>
      <c r="Q18" s="90"/>
    </row>
    <row r="19" spans="1:17" ht="15" customHeight="1">
      <c r="A19" s="100" t="s">
        <v>228</v>
      </c>
      <c r="B19" s="103">
        <v>60.84</v>
      </c>
      <c r="C19" s="134"/>
      <c r="D19" s="130"/>
      <c r="E19" s="130"/>
      <c r="F19" s="134"/>
      <c r="G19" s="91"/>
      <c r="H19" s="91"/>
      <c r="I19" s="91"/>
      <c r="J19" s="91"/>
      <c r="K19" s="91"/>
      <c r="L19" s="91"/>
      <c r="M19" s="91"/>
      <c r="N19" s="90"/>
      <c r="O19" s="90"/>
      <c r="P19" s="90"/>
      <c r="Q19" s="90"/>
    </row>
    <row r="20" spans="1:17" ht="12.75">
      <c r="A20" s="100" t="s">
        <v>229</v>
      </c>
      <c r="B20" s="105">
        <v>0.06</v>
      </c>
      <c r="C20" s="135"/>
      <c r="D20" s="135"/>
      <c r="E20" s="135"/>
      <c r="F20" s="135"/>
      <c r="G20" s="91"/>
      <c r="H20" s="91"/>
      <c r="I20" s="91"/>
      <c r="J20" s="91"/>
      <c r="K20" s="91"/>
      <c r="L20" s="91"/>
      <c r="M20" s="91"/>
      <c r="N20" s="90"/>
      <c r="O20" s="90"/>
      <c r="P20" s="90"/>
      <c r="Q20" s="90"/>
    </row>
    <row r="21" spans="1:17" ht="12.75">
      <c r="A21" s="251" t="s">
        <v>230</v>
      </c>
      <c r="B21" s="106">
        <v>1781.44</v>
      </c>
      <c r="C21" s="136" t="s">
        <v>131</v>
      </c>
      <c r="D21" s="130"/>
      <c r="E21" s="255" t="s">
        <v>233</v>
      </c>
      <c r="F21" s="135"/>
      <c r="G21" s="91"/>
      <c r="H21" s="91"/>
      <c r="I21" s="91"/>
      <c r="J21" s="91"/>
      <c r="K21" s="91"/>
      <c r="L21" s="91"/>
      <c r="M21" s="91"/>
      <c r="N21" s="90"/>
      <c r="O21" s="90"/>
      <c r="P21" s="90"/>
      <c r="Q21" s="90"/>
    </row>
    <row r="22" spans="1:17" ht="12.75">
      <c r="A22" s="251" t="s">
        <v>231</v>
      </c>
      <c r="B22" s="106">
        <v>22.89</v>
      </c>
      <c r="C22" s="136" t="s">
        <v>232</v>
      </c>
      <c r="D22" s="130"/>
      <c r="E22" s="255"/>
      <c r="F22" s="135"/>
      <c r="G22" s="91"/>
      <c r="H22" s="91"/>
      <c r="I22" s="91"/>
      <c r="J22" s="91"/>
      <c r="K22" s="91"/>
      <c r="L22" s="91"/>
      <c r="M22" s="91"/>
      <c r="N22" s="90"/>
      <c r="O22" s="90"/>
      <c r="P22" s="90"/>
      <c r="Q22" s="90"/>
    </row>
    <row r="23" spans="1:17" ht="21" customHeight="1">
      <c r="A23" s="107" t="s">
        <v>234</v>
      </c>
      <c r="B23" s="107"/>
      <c r="C23" s="107"/>
      <c r="D23" s="107"/>
      <c r="E23" s="108"/>
      <c r="F23" s="152"/>
      <c r="G23" s="91"/>
      <c r="H23" s="91"/>
      <c r="I23" s="91"/>
      <c r="J23" s="91"/>
      <c r="K23" s="91"/>
      <c r="L23" s="91"/>
      <c r="M23" s="91"/>
      <c r="N23" s="90"/>
      <c r="O23" s="90"/>
      <c r="P23" s="90"/>
      <c r="Q23" s="90"/>
    </row>
    <row r="24" spans="1:17" ht="39.75" customHeight="1">
      <c r="A24" s="141"/>
      <c r="B24" s="141"/>
      <c r="C24" s="182" t="s">
        <v>249</v>
      </c>
      <c r="D24" s="111" t="s">
        <v>250</v>
      </c>
      <c r="E24" s="112" t="s">
        <v>251</v>
      </c>
      <c r="F24" s="113" t="s">
        <v>252</v>
      </c>
      <c r="G24" s="91"/>
      <c r="H24" s="91"/>
      <c r="I24" s="91"/>
      <c r="J24" s="91"/>
      <c r="K24" s="91"/>
      <c r="L24" s="91"/>
      <c r="M24" s="91"/>
      <c r="N24" s="90"/>
      <c r="O24" s="90"/>
      <c r="P24" s="90"/>
      <c r="Q24" s="90"/>
    </row>
    <row r="25" spans="1:17" ht="12.75">
      <c r="A25" s="142" t="s">
        <v>235</v>
      </c>
      <c r="B25" s="139"/>
      <c r="C25" s="145">
        <f>innards!N8</f>
        <v>264.1972710161522</v>
      </c>
      <c r="D25" s="145">
        <f>innards!O8</f>
        <v>358.55343923620666</v>
      </c>
      <c r="E25" s="145">
        <f>innards!P8</f>
        <v>420.31867125197704</v>
      </c>
      <c r="F25" s="145">
        <f>innards!Q8</f>
        <v>575.4402118057466</v>
      </c>
      <c r="G25" s="91"/>
      <c r="H25" s="91"/>
      <c r="I25" s="91"/>
      <c r="J25" s="91"/>
      <c r="K25" s="91"/>
      <c r="L25" s="91"/>
      <c r="M25" s="91"/>
      <c r="N25" s="90"/>
      <c r="O25" s="90"/>
      <c r="P25" s="90"/>
      <c r="Q25" s="90"/>
    </row>
    <row r="26" spans="1:17" ht="12.75">
      <c r="A26" s="142" t="s">
        <v>236</v>
      </c>
      <c r="B26" s="139"/>
      <c r="C26" s="145">
        <f>innards!N9</f>
        <v>25</v>
      </c>
      <c r="D26" s="145">
        <f>innards!O9</f>
        <v>25</v>
      </c>
      <c r="E26" s="145">
        <f>innards!P9</f>
        <v>25</v>
      </c>
      <c r="F26" s="145">
        <f>innards!Q9</f>
        <v>25</v>
      </c>
      <c r="G26" s="91"/>
      <c r="H26" s="91"/>
      <c r="I26" s="91"/>
      <c r="J26" s="91"/>
      <c r="K26" s="91"/>
      <c r="L26" s="91"/>
      <c r="M26" s="91"/>
      <c r="N26" s="90"/>
      <c r="O26" s="90"/>
      <c r="P26" s="90"/>
      <c r="Q26" s="90"/>
    </row>
    <row r="27" spans="1:17" ht="12.75">
      <c r="A27" s="142" t="s">
        <v>237</v>
      </c>
      <c r="B27" s="139"/>
      <c r="C27" s="154">
        <f>SUM(innards!D17:innards!H17)/60</f>
        <v>172.4137931034483</v>
      </c>
      <c r="D27" s="154">
        <f>SUM(innards!D29:innards!H29)/60</f>
        <v>111.1111111111111</v>
      </c>
      <c r="E27" s="140"/>
      <c r="F27" s="155">
        <f>SUM(innards!D53:innards!H53)/60</f>
        <v>72.91666666666667</v>
      </c>
      <c r="G27" s="91"/>
      <c r="H27" s="91"/>
      <c r="I27" s="91"/>
      <c r="J27" s="91"/>
      <c r="K27" s="91"/>
      <c r="L27" s="91"/>
      <c r="M27" s="91"/>
      <c r="N27" s="90"/>
      <c r="O27" s="90"/>
      <c r="P27" s="90"/>
      <c r="Q27" s="90"/>
    </row>
    <row r="28" spans="1:17" ht="12.75">
      <c r="A28" s="142" t="s">
        <v>238</v>
      </c>
      <c r="B28" s="139"/>
      <c r="C28" s="154">
        <f>SUM(innards!D20:innards!H20)/60</f>
        <v>25.350000000000005</v>
      </c>
      <c r="D28" s="154">
        <f>SUM(innards!D32:innards!H32)/60</f>
        <v>25.350000000000005</v>
      </c>
      <c r="E28" s="140"/>
      <c r="F28" s="154">
        <f>SUM(innards!D58:innards!H58)/60</f>
        <v>11.830000000000002</v>
      </c>
      <c r="G28" s="91"/>
      <c r="H28" s="91"/>
      <c r="I28" s="91"/>
      <c r="J28" s="91"/>
      <c r="K28" s="91"/>
      <c r="L28" s="91"/>
      <c r="M28" s="91"/>
      <c r="N28" s="90"/>
      <c r="O28" s="90"/>
      <c r="P28" s="90"/>
      <c r="Q28" s="90"/>
    </row>
    <row r="29" spans="1:17" ht="12.75">
      <c r="A29" s="142" t="s">
        <v>239</v>
      </c>
      <c r="B29" s="139"/>
      <c r="C29" s="140"/>
      <c r="D29" s="140"/>
      <c r="E29" s="156">
        <f>SUM(innards!D41:innards!H41)/60</f>
        <v>30.4375</v>
      </c>
      <c r="F29" s="156">
        <f>SUM(innards!D54:innards!H54)/60</f>
        <v>16.233333333333334</v>
      </c>
      <c r="G29" s="91"/>
      <c r="H29" s="91"/>
      <c r="I29" s="91"/>
      <c r="J29" s="91"/>
      <c r="K29" s="91"/>
      <c r="L29" s="91"/>
      <c r="M29" s="91"/>
      <c r="N29" s="90"/>
      <c r="O29" s="90"/>
      <c r="P29" s="90"/>
      <c r="Q29" s="90"/>
    </row>
    <row r="30" spans="1:17" ht="12.75">
      <c r="A30" s="109" t="s">
        <v>240</v>
      </c>
      <c r="B30" s="139"/>
      <c r="C30" s="145">
        <f>SUM(C25:C29)</f>
        <v>486.9610641196005</v>
      </c>
      <c r="D30" s="145">
        <f>SUM(D25:D29)</f>
        <v>520.0145503473177</v>
      </c>
      <c r="E30" s="145">
        <f>SUM(E25:E29)</f>
        <v>475.75617125197704</v>
      </c>
      <c r="F30" s="145">
        <f>SUM(F25:F29)</f>
        <v>701.4202118057466</v>
      </c>
      <c r="G30" s="91"/>
      <c r="H30" s="91"/>
      <c r="I30" s="91"/>
      <c r="J30" s="91"/>
      <c r="K30" s="91"/>
      <c r="L30" s="91"/>
      <c r="M30" s="91"/>
      <c r="N30" s="90"/>
      <c r="O30" s="90"/>
      <c r="P30" s="90"/>
      <c r="Q30" s="90"/>
    </row>
    <row r="31" spans="1:17" ht="12.75">
      <c r="A31" s="142" t="s">
        <v>241</v>
      </c>
      <c r="B31" s="139"/>
      <c r="C31" s="145"/>
      <c r="D31" s="145">
        <f>D30-C30</f>
        <v>33.0534862277172</v>
      </c>
      <c r="E31" s="157">
        <f>E30-C30</f>
        <v>-11.204892867623471</v>
      </c>
      <c r="F31" s="157">
        <f>F30-C30</f>
        <v>214.45914768614608</v>
      </c>
      <c r="G31" s="91"/>
      <c r="H31" s="91"/>
      <c r="I31" s="91"/>
      <c r="J31" s="91"/>
      <c r="K31" s="91"/>
      <c r="L31" s="91"/>
      <c r="M31" s="91"/>
      <c r="N31" s="90"/>
      <c r="O31" s="90"/>
      <c r="P31" s="90"/>
      <c r="Q31" s="90"/>
    </row>
    <row r="32" spans="1:17" ht="21" customHeight="1">
      <c r="A32" s="107" t="s">
        <v>256</v>
      </c>
      <c r="B32" s="108"/>
      <c r="C32" s="143"/>
      <c r="D32" s="143"/>
      <c r="E32" s="144"/>
      <c r="F32" s="153"/>
      <c r="G32" s="91"/>
      <c r="H32" s="91"/>
      <c r="I32" s="91"/>
      <c r="J32" s="91"/>
      <c r="K32" s="91"/>
      <c r="L32" s="91"/>
      <c r="M32" s="91"/>
      <c r="N32" s="95"/>
      <c r="O32" s="90"/>
      <c r="P32" s="90"/>
      <c r="Q32" s="90"/>
    </row>
    <row r="33" spans="1:17" ht="15.75" customHeight="1">
      <c r="A33" s="139" t="s">
        <v>242</v>
      </c>
      <c r="B33" s="139"/>
      <c r="C33" s="146">
        <f>innards!B24</f>
        <v>517.2413793103449</v>
      </c>
      <c r="D33" s="146">
        <f>innards!B36</f>
        <v>333.3333333333333</v>
      </c>
      <c r="E33" s="147"/>
      <c r="F33" s="146">
        <f>innards!B62</f>
        <v>205.88235294117646</v>
      </c>
      <c r="G33" s="91"/>
      <c r="H33" s="91"/>
      <c r="I33" s="91"/>
      <c r="J33" s="91"/>
      <c r="K33" s="91"/>
      <c r="L33" s="91"/>
      <c r="M33" s="91"/>
      <c r="N33" s="90"/>
      <c r="O33" s="90"/>
      <c r="P33" s="90"/>
      <c r="Q33" s="90"/>
    </row>
    <row r="34" spans="1:17" ht="15.75" customHeight="1">
      <c r="A34" s="139" t="s">
        <v>243</v>
      </c>
      <c r="B34" s="139"/>
      <c r="C34" s="147">
        <f>0</f>
        <v>0</v>
      </c>
      <c r="D34" s="147">
        <f>0</f>
        <v>0</v>
      </c>
      <c r="E34" s="147">
        <f>B13/E12</f>
        <v>3750</v>
      </c>
      <c r="F34" s="147">
        <f>F14/F12</f>
        <v>2000</v>
      </c>
      <c r="G34" s="91"/>
      <c r="H34" s="91"/>
      <c r="I34" s="94"/>
      <c r="J34" s="91"/>
      <c r="K34" s="91"/>
      <c r="L34" s="91"/>
      <c r="M34" s="91"/>
      <c r="N34" s="90"/>
      <c r="O34" s="90"/>
      <c r="P34" s="90"/>
      <c r="Q34" s="90"/>
    </row>
    <row r="35" spans="1:17" ht="12.75" customHeight="1">
      <c r="A35" s="139" t="s">
        <v>244</v>
      </c>
      <c r="B35" s="139"/>
      <c r="C35" s="138">
        <f>C33*$B$22</f>
        <v>11839.655172413795</v>
      </c>
      <c r="D35" s="138">
        <f>D33*$B$22</f>
        <v>7630</v>
      </c>
      <c r="E35" s="138">
        <f>E33*$B$22</f>
        <v>0</v>
      </c>
      <c r="F35" s="138">
        <f>F33*$B$22</f>
        <v>4712.64705882353</v>
      </c>
      <c r="G35" s="91"/>
      <c r="H35" s="91"/>
      <c r="I35" s="91"/>
      <c r="J35" s="91"/>
      <c r="K35" s="91"/>
      <c r="L35" s="91"/>
      <c r="M35" s="91"/>
      <c r="N35" s="90"/>
      <c r="O35" s="90"/>
      <c r="P35" s="90"/>
      <c r="Q35" s="90"/>
    </row>
    <row r="36" spans="1:17" ht="12.75" customHeight="1">
      <c r="A36" s="139" t="s">
        <v>245</v>
      </c>
      <c r="B36" s="139"/>
      <c r="C36" s="138">
        <f>0</f>
        <v>0</v>
      </c>
      <c r="D36" s="138">
        <f>0</f>
        <v>0</v>
      </c>
      <c r="E36" s="138">
        <f>($B$21/1000)*E34</f>
        <v>6680.400000000001</v>
      </c>
      <c r="F36" s="138">
        <f>($B$21/1000)*F34</f>
        <v>3562.88</v>
      </c>
      <c r="G36" s="91"/>
      <c r="H36" s="91"/>
      <c r="I36" s="91"/>
      <c r="J36" s="91"/>
      <c r="K36" s="91"/>
      <c r="L36" s="91"/>
      <c r="M36" s="91"/>
      <c r="N36" s="90"/>
      <c r="O36" s="90"/>
      <c r="P36" s="90"/>
      <c r="Q36" s="90"/>
    </row>
    <row r="37" spans="1:17" ht="12.75" customHeight="1">
      <c r="A37" s="139" t="s">
        <v>246</v>
      </c>
      <c r="B37" s="139"/>
      <c r="C37" s="137">
        <f>SUM(C35:C36)</f>
        <v>11839.655172413795</v>
      </c>
      <c r="D37" s="137">
        <f>SUM(D35:D36)</f>
        <v>7630</v>
      </c>
      <c r="E37" s="137">
        <f>SUM(E35:E36)</f>
        <v>6680.400000000001</v>
      </c>
      <c r="F37" s="137">
        <f>SUM(F35:F36)</f>
        <v>8275.527058823529</v>
      </c>
      <c r="G37" s="91"/>
      <c r="H37" s="91"/>
      <c r="I37" s="91"/>
      <c r="J37" s="91"/>
      <c r="K37" s="91"/>
      <c r="L37" s="91"/>
      <c r="M37" s="91"/>
      <c r="N37" s="90"/>
      <c r="O37" s="90"/>
      <c r="P37" s="90"/>
      <c r="Q37" s="90"/>
    </row>
    <row r="38" spans="1:17" ht="14.25" customHeight="1">
      <c r="A38" s="139" t="s">
        <v>247</v>
      </c>
      <c r="B38" s="139"/>
      <c r="C38" s="147">
        <f>(($C$37-C37)/2000)*0.90718474</f>
        <v>0</v>
      </c>
      <c r="D38" s="148">
        <f>(($C$37-D37)/2000)*0.90718474</f>
        <v>1.9094674665379319</v>
      </c>
      <c r="E38" s="148">
        <f>(($C$37-E37)/2000)*0.90718474</f>
        <v>2.3401987810899323</v>
      </c>
      <c r="F38" s="148">
        <f>(($C$37-F37)/2000)*0.90718474</f>
        <v>1.6166613180270382</v>
      </c>
      <c r="G38" s="91"/>
      <c r="H38" s="91"/>
      <c r="I38" s="91"/>
      <c r="J38" s="91"/>
      <c r="K38" s="91"/>
      <c r="L38" s="91"/>
      <c r="M38" s="91"/>
      <c r="N38" s="90"/>
      <c r="O38" s="90"/>
      <c r="P38" s="90"/>
      <c r="Q38" s="90"/>
    </row>
    <row r="39" spans="1:17" ht="14.25" customHeight="1">
      <c r="A39" s="139" t="s">
        <v>248</v>
      </c>
      <c r="B39" s="139"/>
      <c r="C39" s="140"/>
      <c r="D39" s="149">
        <f>(D30-$C$30)/D38</f>
        <v>17.310316518587612</v>
      </c>
      <c r="E39" s="150">
        <f>(E30-$C$30)/E38</f>
        <v>-4.788009017936871</v>
      </c>
      <c r="F39" s="149">
        <f>(F30-$C$30)/F38</f>
        <v>132.65558178126665</v>
      </c>
      <c r="G39" s="91"/>
      <c r="H39" s="91"/>
      <c r="I39" s="91"/>
      <c r="J39" s="91"/>
      <c r="K39" s="91"/>
      <c r="L39" s="91"/>
      <c r="M39" s="91"/>
      <c r="N39" s="90"/>
      <c r="O39" s="90"/>
      <c r="P39" s="90"/>
      <c r="Q39" s="90"/>
    </row>
    <row r="41" spans="1:17" ht="12.75">
      <c r="A41" s="90"/>
      <c r="B41" s="90"/>
      <c r="C41" s="90"/>
      <c r="D41" s="90"/>
      <c r="E41" s="95"/>
      <c r="F41" s="90"/>
      <c r="G41" s="90"/>
      <c r="H41" s="90"/>
      <c r="I41" s="90"/>
      <c r="J41" s="90"/>
      <c r="K41" s="90"/>
      <c r="L41" s="90"/>
      <c r="M41" s="90"/>
      <c r="N41" s="90"/>
      <c r="O41" s="90"/>
      <c r="P41" s="90"/>
      <c r="Q41" s="90"/>
    </row>
    <row r="42" spans="1:17" ht="25.5" customHeight="1">
      <c r="A42" s="172"/>
      <c r="B42" s="174"/>
      <c r="C42" s="95"/>
      <c r="D42" s="95"/>
      <c r="E42" s="95"/>
      <c r="F42" s="95"/>
      <c r="G42" s="95"/>
      <c r="H42" s="95"/>
      <c r="I42" s="95"/>
      <c r="J42" s="95"/>
      <c r="K42" s="95"/>
      <c r="L42" s="95"/>
      <c r="M42" s="95"/>
      <c r="N42" s="95"/>
      <c r="O42" s="95"/>
      <c r="P42" s="95"/>
      <c r="Q42" s="95"/>
    </row>
    <row r="43" spans="1:17" ht="23.25" customHeight="1">
      <c r="A43" s="173"/>
      <c r="B43" s="175"/>
      <c r="C43" s="175"/>
      <c r="D43" s="175"/>
      <c r="E43" s="175"/>
      <c r="F43" s="175"/>
      <c r="G43" s="175"/>
      <c r="H43" s="175"/>
      <c r="I43" s="175"/>
      <c r="J43" s="95"/>
      <c r="K43" s="95"/>
      <c r="L43" s="95"/>
      <c r="M43" s="95"/>
      <c r="N43" s="95"/>
      <c r="O43" s="95"/>
      <c r="P43" s="95"/>
      <c r="Q43" s="95"/>
    </row>
    <row r="44" spans="1:17" ht="15.75">
      <c r="A44" s="173"/>
      <c r="B44" s="175"/>
      <c r="C44" s="175"/>
      <c r="D44" s="175"/>
      <c r="E44" s="175"/>
      <c r="F44" s="175"/>
      <c r="G44" s="175"/>
      <c r="H44" s="175"/>
      <c r="I44" s="175"/>
      <c r="J44" s="95"/>
      <c r="K44" s="95"/>
      <c r="L44" s="95"/>
      <c r="M44" s="95"/>
      <c r="N44" s="95"/>
      <c r="O44" s="95"/>
      <c r="P44" s="95"/>
      <c r="Q44" s="95"/>
    </row>
    <row r="45" spans="1:17" ht="15.75">
      <c r="A45" s="173"/>
      <c r="B45" s="175"/>
      <c r="C45" s="175"/>
      <c r="D45" s="175"/>
      <c r="E45" s="175"/>
      <c r="F45" s="175"/>
      <c r="G45" s="175"/>
      <c r="H45" s="175"/>
      <c r="I45" s="175"/>
      <c r="J45" s="95"/>
      <c r="K45" s="95"/>
      <c r="L45" s="95"/>
      <c r="M45" s="95"/>
      <c r="N45" s="95"/>
      <c r="O45" s="95"/>
      <c r="P45" s="95"/>
      <c r="Q45" s="95"/>
    </row>
    <row r="46" spans="1:17" ht="15.75">
      <c r="A46" s="173"/>
      <c r="B46" s="175"/>
      <c r="C46" s="175"/>
      <c r="D46" s="175"/>
      <c r="E46" s="175"/>
      <c r="F46" s="175"/>
      <c r="G46" s="175"/>
      <c r="H46" s="175"/>
      <c r="I46" s="175"/>
      <c r="J46" s="95"/>
      <c r="K46" s="95"/>
      <c r="L46" s="95"/>
      <c r="M46" s="95"/>
      <c r="N46" s="95"/>
      <c r="O46" s="95"/>
      <c r="P46" s="95"/>
      <c r="Q46" s="95"/>
    </row>
    <row r="47" spans="1:17" ht="15.75">
      <c r="A47" s="173"/>
      <c r="B47" s="175"/>
      <c r="C47" s="175"/>
      <c r="D47" s="175"/>
      <c r="E47" s="175"/>
      <c r="F47" s="175"/>
      <c r="G47" s="175"/>
      <c r="H47" s="175"/>
      <c r="I47" s="175"/>
      <c r="J47" s="95"/>
      <c r="K47" s="95"/>
      <c r="L47" s="95"/>
      <c r="M47" s="95"/>
      <c r="N47" s="95"/>
      <c r="O47" s="95"/>
      <c r="P47" s="95"/>
      <c r="Q47" s="95"/>
    </row>
    <row r="48" spans="1:17" ht="15.75">
      <c r="A48" s="173"/>
      <c r="B48" s="175"/>
      <c r="C48" s="175"/>
      <c r="D48" s="175"/>
      <c r="E48" s="175"/>
      <c r="F48" s="175"/>
      <c r="G48" s="175"/>
      <c r="H48" s="175"/>
      <c r="I48" s="175"/>
      <c r="J48" s="95"/>
      <c r="K48" s="95"/>
      <c r="L48" s="95"/>
      <c r="M48" s="95"/>
      <c r="N48" s="95"/>
      <c r="O48" s="95"/>
      <c r="P48" s="95"/>
      <c r="Q48" s="95"/>
    </row>
    <row r="49" spans="1:17" ht="15.75">
      <c r="A49" s="173"/>
      <c r="B49" s="175"/>
      <c r="C49" s="175"/>
      <c r="D49" s="175"/>
      <c r="E49" s="175"/>
      <c r="F49" s="175"/>
      <c r="G49" s="175"/>
      <c r="H49" s="175"/>
      <c r="I49" s="175"/>
      <c r="J49" s="95"/>
      <c r="K49" s="95"/>
      <c r="L49" s="95"/>
      <c r="M49" s="95"/>
      <c r="N49" s="95"/>
      <c r="O49" s="95"/>
      <c r="P49" s="95"/>
      <c r="Q49" s="95"/>
    </row>
    <row r="50" spans="1:17" ht="15.75">
      <c r="A50" s="173"/>
      <c r="B50" s="175"/>
      <c r="C50" s="175"/>
      <c r="D50" s="175"/>
      <c r="E50" s="175"/>
      <c r="F50" s="175"/>
      <c r="G50" s="175"/>
      <c r="H50" s="175"/>
      <c r="I50" s="175"/>
      <c r="J50" s="95"/>
      <c r="K50" s="95"/>
      <c r="L50" s="95"/>
      <c r="M50" s="95"/>
      <c r="N50" s="95"/>
      <c r="O50" s="95"/>
      <c r="P50" s="95"/>
      <c r="Q50" s="95"/>
    </row>
    <row r="51" spans="1:17" ht="15.75">
      <c r="A51" s="173"/>
      <c r="B51" s="175"/>
      <c r="C51" s="175"/>
      <c r="D51" s="175"/>
      <c r="E51" s="95"/>
      <c r="F51" s="95"/>
      <c r="G51" s="175"/>
      <c r="H51" s="175"/>
      <c r="I51" s="175"/>
      <c r="J51" s="95"/>
      <c r="K51" s="95"/>
      <c r="L51" s="95"/>
      <c r="M51" s="95"/>
      <c r="N51" s="95"/>
      <c r="O51" s="95"/>
      <c r="P51" s="95"/>
      <c r="Q51" s="95"/>
    </row>
    <row r="52" spans="1:17" ht="15.75">
      <c r="A52" s="173"/>
      <c r="B52" s="95"/>
      <c r="C52" s="95"/>
      <c r="D52" s="95"/>
      <c r="E52" s="95"/>
      <c r="F52" s="95"/>
      <c r="G52" s="95"/>
      <c r="H52" s="95"/>
      <c r="I52" s="95"/>
      <c r="J52" s="95"/>
      <c r="K52" s="95"/>
      <c r="L52" s="95"/>
      <c r="M52" s="95"/>
      <c r="N52" s="95"/>
      <c r="O52" s="95"/>
      <c r="P52" s="95"/>
      <c r="Q52" s="95"/>
    </row>
    <row r="53" spans="1:17" ht="47.25" customHeight="1">
      <c r="A53" s="254" t="s">
        <v>258</v>
      </c>
      <c r="B53" s="254"/>
      <c r="C53" s="254"/>
      <c r="D53" s="254"/>
      <c r="E53" s="254"/>
      <c r="F53" s="254"/>
      <c r="G53" s="254"/>
      <c r="H53" s="254"/>
      <c r="I53" s="254"/>
      <c r="J53" s="254"/>
      <c r="K53" s="254"/>
      <c r="L53" s="184"/>
      <c r="M53" s="184"/>
      <c r="N53" s="95"/>
      <c r="O53" s="95"/>
      <c r="P53" s="95"/>
      <c r="Q53" s="95"/>
    </row>
    <row r="54" spans="1:17" ht="44.25" customHeight="1">
      <c r="A54" s="258" t="s">
        <v>259</v>
      </c>
      <c r="B54" s="258"/>
      <c r="C54" s="258"/>
      <c r="D54" s="258"/>
      <c r="E54" s="258"/>
      <c r="F54" s="258"/>
      <c r="G54" s="258"/>
      <c r="H54" s="258"/>
      <c r="I54" s="258"/>
      <c r="J54" s="258"/>
      <c r="K54" s="258"/>
      <c r="L54" s="249"/>
      <c r="M54" s="249"/>
      <c r="N54" s="90"/>
      <c r="O54" s="90"/>
      <c r="P54" s="90"/>
      <c r="Q54" s="90"/>
    </row>
    <row r="55" spans="1:17" ht="12.75">
      <c r="A55" s="90"/>
      <c r="B55" s="90"/>
      <c r="C55" s="90"/>
      <c r="D55" s="90"/>
      <c r="E55" s="90"/>
      <c r="F55" s="90"/>
      <c r="G55" s="90"/>
      <c r="H55" s="90"/>
      <c r="I55" s="90"/>
      <c r="J55" s="90"/>
      <c r="K55" s="90"/>
      <c r="L55" s="90"/>
      <c r="M55" s="90"/>
      <c r="N55" s="90"/>
      <c r="O55" s="90"/>
      <c r="P55" s="90"/>
      <c r="Q55" s="90"/>
    </row>
    <row r="56" spans="1:17" ht="12.75">
      <c r="A56" s="90"/>
      <c r="B56" s="158"/>
      <c r="C56" s="159" t="s">
        <v>115</v>
      </c>
      <c r="D56" s="159" t="s">
        <v>116</v>
      </c>
      <c r="E56" s="159" t="s">
        <v>53</v>
      </c>
      <c r="F56" s="159" t="s">
        <v>106</v>
      </c>
      <c r="G56" s="90"/>
      <c r="H56" s="90"/>
      <c r="I56" s="90"/>
      <c r="J56" s="90"/>
      <c r="K56" s="93"/>
      <c r="L56" s="90"/>
      <c r="M56" s="90"/>
      <c r="N56" s="90"/>
      <c r="O56" s="90"/>
      <c r="P56" s="90"/>
      <c r="Q56" s="90"/>
    </row>
    <row r="57" spans="1:17" ht="12.75">
      <c r="A57" s="90"/>
      <c r="B57" s="158" t="s">
        <v>114</v>
      </c>
      <c r="C57" s="160">
        <f>C37</f>
        <v>11839.655172413795</v>
      </c>
      <c r="D57" s="160">
        <f>D37</f>
        <v>7630</v>
      </c>
      <c r="E57" s="160">
        <f>E37</f>
        <v>6680.400000000001</v>
      </c>
      <c r="F57" s="160">
        <f>F37</f>
        <v>8275.527058823529</v>
      </c>
      <c r="G57" s="90"/>
      <c r="H57" s="90"/>
      <c r="I57" s="90"/>
      <c r="J57" s="90"/>
      <c r="K57" s="90"/>
      <c r="L57" s="90"/>
      <c r="M57" s="90"/>
      <c r="N57" s="90"/>
      <c r="O57" s="90"/>
      <c r="P57" s="90"/>
      <c r="Q57" s="90"/>
    </row>
    <row r="58" spans="1:17" ht="12.75">
      <c r="A58" s="90"/>
      <c r="B58" s="158" t="s">
        <v>117</v>
      </c>
      <c r="C58" s="161">
        <f>C57/$C$57</f>
        <v>1</v>
      </c>
      <c r="D58" s="161">
        <f>D57/$C$57</f>
        <v>0.6444444444444444</v>
      </c>
      <c r="E58" s="161">
        <f>E57/$C$57</f>
        <v>0.5642394058540847</v>
      </c>
      <c r="F58" s="161">
        <f>F57/$C$57</f>
        <v>0.6989668988084529</v>
      </c>
      <c r="G58" s="90"/>
      <c r="H58" s="90"/>
      <c r="I58" s="90"/>
      <c r="J58" s="90"/>
      <c r="K58" s="90"/>
      <c r="L58" s="90"/>
      <c r="M58" s="90"/>
      <c r="N58" s="90"/>
      <c r="O58" s="90"/>
      <c r="P58" s="90"/>
      <c r="Q58" s="90"/>
    </row>
    <row r="59" spans="1:17" ht="12.75">
      <c r="A59" s="90"/>
      <c r="B59" s="158" t="s">
        <v>120</v>
      </c>
      <c r="C59" s="162">
        <f>innards!R23</f>
        <v>41403.51459265413</v>
      </c>
      <c r="D59" s="162">
        <f>innards!R35</f>
        <v>40021.76648844598</v>
      </c>
      <c r="E59" s="162">
        <f>innards!R47</f>
        <v>33955.27021458756</v>
      </c>
      <c r="F59" s="162">
        <f>innards!R61</f>
        <v>50017.92642267852</v>
      </c>
      <c r="G59" s="90"/>
      <c r="H59" s="90"/>
      <c r="I59" s="90"/>
      <c r="J59" s="90"/>
      <c r="K59" s="90"/>
      <c r="L59" s="90"/>
      <c r="M59" s="90"/>
      <c r="N59" s="90"/>
      <c r="O59" s="90"/>
      <c r="P59" s="90"/>
      <c r="Q59" s="90"/>
    </row>
    <row r="60" spans="1:17" ht="12.75">
      <c r="A60" s="90"/>
      <c r="B60" s="158" t="s">
        <v>117</v>
      </c>
      <c r="C60" s="161">
        <f>C59/$C$59</f>
        <v>1</v>
      </c>
      <c r="D60" s="161">
        <f>(D59/$C$59)</f>
        <v>0.9666272750561784</v>
      </c>
      <c r="E60" s="161">
        <f>(E59/$C$59)</f>
        <v>0.8201059873456238</v>
      </c>
      <c r="F60" s="161">
        <f>(F59/$C$59)</f>
        <v>1.2080599174919506</v>
      </c>
      <c r="G60" s="90"/>
      <c r="H60" s="90"/>
      <c r="I60" s="90"/>
      <c r="J60" s="90"/>
      <c r="K60" s="90"/>
      <c r="L60" s="90"/>
      <c r="M60" s="90"/>
      <c r="N60" s="90"/>
      <c r="O60" s="90"/>
      <c r="P60" s="90"/>
      <c r="Q60" s="90"/>
    </row>
    <row r="61" spans="1:17" ht="12.75">
      <c r="A61" s="90"/>
      <c r="B61" s="90"/>
      <c r="C61" s="90"/>
      <c r="D61" s="90"/>
      <c r="E61" s="90"/>
      <c r="F61" s="90"/>
      <c r="G61" s="90"/>
      <c r="H61" s="90"/>
      <c r="I61" s="90"/>
      <c r="J61" s="90"/>
      <c r="K61" s="90"/>
      <c r="L61" s="90"/>
      <c r="M61" s="90"/>
      <c r="N61" s="90"/>
      <c r="O61" s="90"/>
      <c r="P61" s="90"/>
      <c r="Q61" s="90"/>
    </row>
    <row r="62" spans="1:17" ht="12.75">
      <c r="A62" s="90"/>
      <c r="B62" s="90"/>
      <c r="C62" s="90"/>
      <c r="D62" s="90"/>
      <c r="E62" s="90"/>
      <c r="F62" s="90"/>
      <c r="G62" s="90"/>
      <c r="H62" s="90"/>
      <c r="I62" s="90"/>
      <c r="J62" s="90"/>
      <c r="K62" s="90"/>
      <c r="L62" s="90"/>
      <c r="M62" s="90"/>
      <c r="N62" s="90"/>
      <c r="O62" s="90"/>
      <c r="P62" s="90"/>
      <c r="Q62" s="90"/>
    </row>
    <row r="63" spans="1:17" ht="12.75">
      <c r="A63" s="90"/>
      <c r="B63" s="90"/>
      <c r="C63" s="90"/>
      <c r="D63" s="90"/>
      <c r="E63" s="90"/>
      <c r="F63" s="90"/>
      <c r="G63" s="90"/>
      <c r="H63" s="90"/>
      <c r="I63" s="90"/>
      <c r="J63" s="90"/>
      <c r="K63" s="90"/>
      <c r="L63" s="90"/>
      <c r="M63" s="90"/>
      <c r="N63" s="90"/>
      <c r="O63" s="90"/>
      <c r="P63" s="90"/>
      <c r="Q63" s="90"/>
    </row>
    <row r="64" spans="1:17" ht="12.75">
      <c r="A64" s="90"/>
      <c r="B64" s="90"/>
      <c r="C64" s="90"/>
      <c r="D64" s="96"/>
      <c r="E64" s="90"/>
      <c r="F64" s="90"/>
      <c r="G64" s="90"/>
      <c r="H64" s="90"/>
      <c r="I64" s="90"/>
      <c r="J64" s="90"/>
      <c r="K64" s="90"/>
      <c r="L64" s="90"/>
      <c r="M64" s="90"/>
      <c r="N64" s="90"/>
      <c r="O64" s="90"/>
      <c r="P64" s="90"/>
      <c r="Q64" s="90"/>
    </row>
    <row r="65" spans="1:17" ht="12.75">
      <c r="A65" s="90"/>
      <c r="B65" s="90"/>
      <c r="C65" s="90"/>
      <c r="D65" s="90"/>
      <c r="E65" s="90"/>
      <c r="F65" s="90"/>
      <c r="G65" s="90"/>
      <c r="H65" s="90"/>
      <c r="I65" s="90"/>
      <c r="J65" s="90"/>
      <c r="K65" s="90"/>
      <c r="L65" s="90"/>
      <c r="M65" s="90"/>
      <c r="N65" s="90"/>
      <c r="O65" s="90"/>
      <c r="P65" s="90"/>
      <c r="Q65" s="90"/>
    </row>
    <row r="66" spans="1:17" ht="12.75">
      <c r="A66" s="90"/>
      <c r="B66" s="90"/>
      <c r="C66" s="90"/>
      <c r="D66" s="90"/>
      <c r="E66" s="90"/>
      <c r="F66" s="90"/>
      <c r="G66" s="90"/>
      <c r="H66" s="90"/>
      <c r="I66" s="90"/>
      <c r="J66" s="90"/>
      <c r="K66" s="90"/>
      <c r="L66" s="90"/>
      <c r="M66" s="90"/>
      <c r="N66" s="90"/>
      <c r="O66" s="90"/>
      <c r="P66" s="90"/>
      <c r="Q66" s="90"/>
    </row>
    <row r="67" spans="1:17" ht="12.75">
      <c r="A67" s="90"/>
      <c r="B67" s="90"/>
      <c r="C67" s="90"/>
      <c r="D67" s="90"/>
      <c r="E67" s="90"/>
      <c r="F67" s="90"/>
      <c r="G67" s="90"/>
      <c r="H67" s="90"/>
      <c r="I67" s="90"/>
      <c r="J67" s="90"/>
      <c r="K67" s="90"/>
      <c r="L67" s="90"/>
      <c r="M67" s="90"/>
      <c r="N67" s="90"/>
      <c r="O67" s="90"/>
      <c r="P67" s="90"/>
      <c r="Q67" s="90"/>
    </row>
    <row r="68" spans="1:17" ht="12.75">
      <c r="A68" s="90"/>
      <c r="B68" s="90"/>
      <c r="C68" s="90"/>
      <c r="D68" s="90"/>
      <c r="E68" s="90"/>
      <c r="F68" s="90"/>
      <c r="G68" s="90"/>
      <c r="H68" s="90"/>
      <c r="I68" s="90"/>
      <c r="J68" s="90"/>
      <c r="K68" s="90"/>
      <c r="L68" s="90"/>
      <c r="M68" s="90"/>
      <c r="N68" s="90"/>
      <c r="O68" s="90"/>
      <c r="P68" s="90"/>
      <c r="Q68" s="90"/>
    </row>
    <row r="69" spans="1:17" ht="12.75" customHeight="1">
      <c r="A69" s="97"/>
      <c r="B69" s="97"/>
      <c r="C69" s="90"/>
      <c r="D69" s="90"/>
      <c r="E69" s="90"/>
      <c r="F69" s="90"/>
      <c r="G69" s="90"/>
      <c r="H69" s="90"/>
      <c r="I69" s="90"/>
      <c r="J69" s="90"/>
      <c r="K69" s="90"/>
      <c r="L69" s="90"/>
      <c r="M69" s="90"/>
      <c r="N69" s="90"/>
      <c r="O69" s="90"/>
      <c r="P69" s="90"/>
      <c r="Q69" s="90"/>
    </row>
    <row r="70" spans="1:17" ht="12.75" customHeight="1">
      <c r="A70" s="97"/>
      <c r="B70" s="97"/>
      <c r="C70" s="90"/>
      <c r="D70" s="90"/>
      <c r="E70" s="90"/>
      <c r="F70" s="90"/>
      <c r="G70" s="90"/>
      <c r="H70" s="90"/>
      <c r="I70" s="90"/>
      <c r="J70" s="90"/>
      <c r="K70" s="90"/>
      <c r="L70" s="90"/>
      <c r="M70" s="90"/>
      <c r="N70" s="90"/>
      <c r="O70" s="90"/>
      <c r="P70" s="90"/>
      <c r="Q70" s="90"/>
    </row>
    <row r="71" spans="1:17" ht="12.75" customHeight="1">
      <c r="A71" s="97"/>
      <c r="B71" s="97"/>
      <c r="C71" s="90"/>
      <c r="D71" s="90"/>
      <c r="E71" s="90"/>
      <c r="F71" s="90"/>
      <c r="G71" s="90"/>
      <c r="H71" s="90"/>
      <c r="I71" s="90"/>
      <c r="J71" s="90"/>
      <c r="K71" s="90"/>
      <c r="L71" s="90"/>
      <c r="M71" s="90"/>
      <c r="N71" s="90"/>
      <c r="O71" s="90"/>
      <c r="P71" s="90"/>
      <c r="Q71" s="90"/>
    </row>
    <row r="72" spans="1:2" ht="12.75" customHeight="1">
      <c r="A72" s="34"/>
      <c r="B72" s="34"/>
    </row>
    <row r="73" spans="1:2" ht="12.75" customHeight="1">
      <c r="A73" s="34"/>
      <c r="B73" s="34"/>
    </row>
    <row r="74" spans="1:2" ht="12.75" customHeight="1">
      <c r="A74" s="34"/>
      <c r="B74" s="34"/>
    </row>
    <row r="75" spans="1:2" ht="12.75" customHeight="1">
      <c r="A75" s="34"/>
      <c r="B75" s="34"/>
    </row>
    <row r="86" spans="1:18" ht="12.75">
      <c r="A86" s="176"/>
      <c r="B86" s="176"/>
      <c r="C86" s="176">
        <v>0</v>
      </c>
      <c r="D86" s="176">
        <v>1</v>
      </c>
      <c r="E86" s="176">
        <v>2</v>
      </c>
      <c r="F86" s="176">
        <v>3</v>
      </c>
      <c r="G86" s="176">
        <v>4</v>
      </c>
      <c r="H86" s="176">
        <v>5</v>
      </c>
      <c r="I86" s="176">
        <v>6</v>
      </c>
      <c r="J86" s="176">
        <v>7</v>
      </c>
      <c r="K86" s="176">
        <v>8</v>
      </c>
      <c r="L86" s="176">
        <v>9</v>
      </c>
      <c r="M86" s="176">
        <v>10</v>
      </c>
      <c r="N86" s="176">
        <v>11</v>
      </c>
      <c r="O86" s="176">
        <v>12</v>
      </c>
      <c r="P86" s="176">
        <v>13</v>
      </c>
      <c r="Q86" s="176">
        <v>14</v>
      </c>
      <c r="R86" s="176">
        <v>15</v>
      </c>
    </row>
    <row r="87" spans="1:18" ht="12.75">
      <c r="A87" s="177" t="s">
        <v>30</v>
      </c>
      <c r="B87" s="177"/>
      <c r="C87" s="178">
        <f>innards!C23</f>
        <v>5000</v>
      </c>
      <c r="D87" s="178">
        <f>innards!D23</f>
        <v>10229.747895693588</v>
      </c>
      <c r="E87" s="178">
        <f>innards!E23</f>
        <v>15163.4723255932</v>
      </c>
      <c r="F87" s="178">
        <f>innards!F23</f>
        <v>19817.929334932458</v>
      </c>
      <c r="G87" s="178">
        <f>innards!G23</f>
        <v>24208.926513554397</v>
      </c>
      <c r="H87" s="178">
        <f>innards!H23</f>
        <v>28351.37668206566</v>
      </c>
      <c r="I87" s="178">
        <f>innards!I23</f>
        <v>30024.36472765295</v>
      </c>
      <c r="J87" s="178">
        <f>innards!J23</f>
        <v>31602.655336697557</v>
      </c>
      <c r="K87" s="178">
        <f>innards!K23</f>
        <v>33091.60874145662</v>
      </c>
      <c r="L87" s="178">
        <f>innards!L23</f>
        <v>34496.28176481423</v>
      </c>
      <c r="M87" s="178">
        <f>innards!M23</f>
        <v>35821.44499439688</v>
      </c>
      <c r="N87" s="178">
        <f>innards!N23</f>
        <v>37071.59898456919</v>
      </c>
      <c r="O87" s="178">
        <f>innards!O23</f>
        <v>38250.98954133552</v>
      </c>
      <c r="P87" s="178">
        <f>innards!P23</f>
        <v>39363.62214205847</v>
      </c>
      <c r="Q87" s="178">
        <f>innards!Q23</f>
        <v>40413.27553896692</v>
      </c>
      <c r="R87" s="178">
        <f>innards!R23</f>
        <v>41403.51459265413</v>
      </c>
    </row>
    <row r="88" spans="1:18" ht="12.75">
      <c r="A88" s="177" t="s">
        <v>31</v>
      </c>
      <c r="B88" s="177"/>
      <c r="C88" s="178">
        <f>innards!C35</f>
        <v>5000</v>
      </c>
      <c r="D88" s="178">
        <f>innards!$D35</f>
        <v>10603.93830581869</v>
      </c>
      <c r="E88" s="178">
        <f>innards!$E35</f>
        <v>15890.67255659104</v>
      </c>
      <c r="F88" s="178">
        <f>innards!$F35</f>
        <v>20878.157698829105</v>
      </c>
      <c r="G88" s="178">
        <f>innards!$G35</f>
        <v>25583.332361317847</v>
      </c>
      <c r="H88" s="178">
        <f>innards!$H35</f>
        <v>30022.17638253364</v>
      </c>
      <c r="I88" s="178">
        <f>innards!$I35</f>
        <v>31176.57276618829</v>
      </c>
      <c r="J88" s="178">
        <f>innards!$J35</f>
        <v>32265.62595831532</v>
      </c>
      <c r="K88" s="178">
        <f>innards!$K35</f>
        <v>34547.85937281692</v>
      </c>
      <c r="L88" s="178">
        <f>innards!$L35</f>
        <v>35517.11283679612</v>
      </c>
      <c r="M88" s="178">
        <f>innards!$M35</f>
        <v>36431.502897153856</v>
      </c>
      <c r="N88" s="178">
        <f>innards!$N35</f>
        <v>37294.135029566816</v>
      </c>
      <c r="O88" s="178">
        <f>innards!$O35</f>
        <v>38107.938928069605</v>
      </c>
      <c r="P88" s="178">
        <f>innards!$P35</f>
        <v>38875.67845495903</v>
      </c>
      <c r="Q88" s="178">
        <f>innards!$Q35</f>
        <v>39465.413074131924</v>
      </c>
      <c r="R88" s="178">
        <f>innards!$R35</f>
        <v>40021.76648844598</v>
      </c>
    </row>
    <row r="89" spans="1:18" ht="12.75">
      <c r="A89" s="177" t="s">
        <v>53</v>
      </c>
      <c r="B89" s="179"/>
      <c r="C89" s="178">
        <f>innards!C47</f>
        <v>5000</v>
      </c>
      <c r="D89" s="178">
        <f>innards!D47</f>
        <v>3687.8057122865325</v>
      </c>
      <c r="E89" s="178">
        <f>innards!$E47</f>
        <v>10014.856313055243</v>
      </c>
      <c r="F89" s="178">
        <f>innards!$F47</f>
        <v>15983.7719741578</v>
      </c>
      <c r="G89" s="178">
        <f>innards!$G47</f>
        <v>21614.82448463191</v>
      </c>
      <c r="H89" s="178">
        <f>innards!$H47</f>
        <v>26927.13817375843</v>
      </c>
      <c r="I89" s="178">
        <f>innards!$I47</f>
        <v>27184.62501115402</v>
      </c>
      <c r="J89" s="178">
        <f>innards!$J47</f>
        <v>27427.53712190458</v>
      </c>
      <c r="K89" s="178">
        <f>innards!$K47</f>
        <v>32675.998461271796</v>
      </c>
      <c r="L89" s="178">
        <f>innards!$L47</f>
        <v>32892.18937507614</v>
      </c>
      <c r="M89" s="178">
        <f>innards!$M47</f>
        <v>33096.14306734438</v>
      </c>
      <c r="N89" s="178">
        <f>innards!$N47</f>
        <v>33288.55221099367</v>
      </c>
      <c r="O89" s="178">
        <f>innards!$O47</f>
        <v>33470.070271040175</v>
      </c>
      <c r="P89" s="178">
        <f>innards!$P47</f>
        <v>33641.31372391423</v>
      </c>
      <c r="Q89" s="178">
        <f>innards!$Q47</f>
        <v>33802.8641511539</v>
      </c>
      <c r="R89" s="178">
        <f>innards!$R47</f>
        <v>33955.27021458756</v>
      </c>
    </row>
    <row r="90" spans="1:18" ht="12.75">
      <c r="A90" s="177" t="s">
        <v>122</v>
      </c>
      <c r="B90" s="179"/>
      <c r="C90" s="178">
        <f>innards!C61</f>
        <v>5000</v>
      </c>
      <c r="D90" s="178">
        <f>innards!D61</f>
        <v>6242.49296383864</v>
      </c>
      <c r="E90" s="178">
        <f>innards!E61</f>
        <v>14979.625877392356</v>
      </c>
      <c r="F90" s="178">
        <f>innards!F61</f>
        <v>23222.20409772605</v>
      </c>
      <c r="G90" s="178">
        <f>innards!G61</f>
        <v>30998.2212867201</v>
      </c>
      <c r="H90" s="178">
        <f>innards!H61</f>
        <v>38334.086559356</v>
      </c>
      <c r="I90" s="178">
        <f>innards!I61</f>
        <v>39188.32954383918</v>
      </c>
      <c r="J90" s="178">
        <f>innards!J61</f>
        <v>39994.21915184218</v>
      </c>
      <c r="K90" s="178">
        <f>innards!K61</f>
        <v>45773.79133767397</v>
      </c>
      <c r="L90" s="178">
        <f>innards!L61</f>
        <v>46491.03021984111</v>
      </c>
      <c r="M90" s="178">
        <f>innards!M61</f>
        <v>47167.67067471577</v>
      </c>
      <c r="N90" s="178">
        <f>innards!N61</f>
        <v>47806.010726484325</v>
      </c>
      <c r="O90" s="178">
        <f>innards!O61</f>
        <v>48408.218322492394</v>
      </c>
      <c r="P90" s="178">
        <f>innards!P61</f>
        <v>48976.33869608491</v>
      </c>
      <c r="Q90" s="178">
        <f>innards!Q61</f>
        <v>49512.30131268162</v>
      </c>
      <c r="R90" s="178">
        <f>innards!R61</f>
        <v>50017.92642267852</v>
      </c>
    </row>
    <row r="91" spans="1:18" ht="12.75">
      <c r="A91" s="179"/>
      <c r="B91" s="179"/>
      <c r="C91" s="181">
        <f>PMT(6%/12,5*12,25000)</f>
        <v>-483.32003823571057</v>
      </c>
      <c r="D91" s="180">
        <f>PMT(6%,5,25000)</f>
        <v>-5934.910010779734</v>
      </c>
      <c r="E91" s="179"/>
      <c r="F91" s="179"/>
      <c r="G91" s="179"/>
      <c r="H91" s="179"/>
      <c r="I91" s="179"/>
      <c r="J91" s="179"/>
      <c r="K91" s="179"/>
      <c r="L91" s="179"/>
      <c r="M91" s="179"/>
      <c r="N91" s="179"/>
      <c r="O91" s="179"/>
      <c r="P91" s="179"/>
      <c r="Q91" s="179"/>
      <c r="R91" s="179"/>
    </row>
    <row r="92" spans="1:18" ht="12.75">
      <c r="A92" s="179"/>
      <c r="B92" s="179"/>
      <c r="C92" s="181">
        <f>C91*12</f>
        <v>-5799.840458828527</v>
      </c>
      <c r="D92" s="179"/>
      <c r="E92" s="179"/>
      <c r="F92" s="179"/>
      <c r="G92" s="179"/>
      <c r="H92" s="179"/>
      <c r="I92" s="179"/>
      <c r="J92" s="179"/>
      <c r="K92" s="179"/>
      <c r="L92" s="179"/>
      <c r="M92" s="179"/>
      <c r="N92" s="179"/>
      <c r="O92" s="179"/>
      <c r="P92" s="179"/>
      <c r="Q92" s="179"/>
      <c r="R92" s="179"/>
    </row>
  </sheetData>
  <sheetProtection/>
  <mergeCells count="6">
    <mergeCell ref="A4:B4"/>
    <mergeCell ref="A53:K53"/>
    <mergeCell ref="E21:E22"/>
    <mergeCell ref="A2:K2"/>
    <mergeCell ref="A3:K3"/>
    <mergeCell ref="A54:K54"/>
  </mergeCells>
  <hyperlinks>
    <hyperlink ref="A18" location="ElectPrices!A1" display="Electricity price (grid) per kWh for life of car"/>
    <hyperlink ref="A21" location="ElectricGHG!A1" display="GHG emissions per MWh of electicity (tons)"/>
    <hyperlink ref="A22" location="GasolineGHG!A1" display="GHG emission per gallon of gasoline (E10)"/>
  </hyperlinks>
  <printOptions/>
  <pageMargins left="0.7" right="0.7" top="0.75" bottom="0.75" header="0.3" footer="0.3"/>
  <pageSetup horizontalDpi="600" verticalDpi="600" orientation="landscape" scale="60" r:id="rId2"/>
  <drawing r:id="rId1"/>
</worksheet>
</file>

<file path=xl/worksheets/sheet2.xml><?xml version="1.0" encoding="utf-8"?>
<worksheet xmlns="http://schemas.openxmlformats.org/spreadsheetml/2006/main" xmlns:r="http://schemas.openxmlformats.org/officeDocument/2006/relationships">
  <dimension ref="A1:T87"/>
  <sheetViews>
    <sheetView zoomScale="90" zoomScaleNormal="90" zoomScalePageLayoutView="0" workbookViewId="0" topLeftCell="A29">
      <selection activeCell="D49" sqref="D49"/>
    </sheetView>
  </sheetViews>
  <sheetFormatPr defaultColWidth="9.140625" defaultRowHeight="12.75"/>
  <cols>
    <col min="1" max="1" width="30.7109375" style="0" customWidth="1"/>
    <col min="2" max="2" width="16.57421875" style="0" customWidth="1"/>
    <col min="3" max="3" width="9.8515625" style="0" customWidth="1"/>
    <col min="4" max="4" width="12.140625" style="0" bestFit="1" customWidth="1"/>
    <col min="5" max="5" width="11.28125" style="0" customWidth="1"/>
    <col min="6" max="7" width="10.7109375" style="0" customWidth="1"/>
    <col min="8" max="8" width="13.140625" style="0" customWidth="1"/>
    <col min="9" max="13" width="9.421875" style="0" bestFit="1" customWidth="1"/>
    <col min="14" max="14" width="10.57421875" style="0" bestFit="1" customWidth="1"/>
    <col min="15" max="15" width="9.8515625" style="0" customWidth="1"/>
    <col min="16" max="16" width="10.28125" style="0" customWidth="1"/>
    <col min="17" max="17" width="9.7109375" style="0" customWidth="1"/>
    <col min="18" max="18" width="10.00390625" style="0" customWidth="1"/>
    <col min="19" max="19" width="24.57421875" style="0" customWidth="1"/>
  </cols>
  <sheetData>
    <row r="1" spans="1:17" ht="18.75" thickBot="1">
      <c r="A1" s="7" t="s">
        <v>9</v>
      </c>
      <c r="D1" t="s">
        <v>10</v>
      </c>
      <c r="F1" s="6">
        <v>40442</v>
      </c>
      <c r="K1" s="33"/>
      <c r="N1" s="29" t="s">
        <v>36</v>
      </c>
      <c r="O1" s="29" t="s">
        <v>31</v>
      </c>
      <c r="P1" s="41" t="s">
        <v>52</v>
      </c>
      <c r="Q1" s="41" t="s">
        <v>59</v>
      </c>
    </row>
    <row r="2" spans="11:16" ht="6" customHeight="1" thickBot="1">
      <c r="K2" s="33"/>
      <c r="P2" s="32"/>
    </row>
    <row r="3" spans="1:18" ht="13.5" thickBot="1">
      <c r="A3" s="14" t="s">
        <v>19</v>
      </c>
      <c r="C3" t="s">
        <v>55</v>
      </c>
      <c r="E3" t="s">
        <v>56</v>
      </c>
      <c r="G3" s="50" t="s">
        <v>107</v>
      </c>
      <c r="H3" t="s">
        <v>59</v>
      </c>
      <c r="J3" s="50" t="s">
        <v>109</v>
      </c>
      <c r="K3" s="33"/>
      <c r="L3" s="259" t="s">
        <v>34</v>
      </c>
      <c r="M3" s="259"/>
      <c r="N3" s="30">
        <f>input!C7</f>
        <v>60</v>
      </c>
      <c r="O3" s="30">
        <f>input!D7</f>
        <v>60</v>
      </c>
      <c r="P3" s="51">
        <f>input!E7</f>
        <v>60</v>
      </c>
      <c r="Q3" s="52">
        <f>input!F7</f>
        <v>60</v>
      </c>
      <c r="R3">
        <v>3</v>
      </c>
    </row>
    <row r="4" spans="1:18" ht="13.5" thickBot="1">
      <c r="A4" t="s">
        <v>60</v>
      </c>
      <c r="C4" s="15">
        <f>input!B16</f>
        <v>4</v>
      </c>
      <c r="D4" t="s">
        <v>2</v>
      </c>
      <c r="E4" s="45">
        <f>input!B18</f>
        <v>0.0974</v>
      </c>
      <c r="G4" s="23">
        <f>SUM(D68:R68)/15</f>
        <v>4</v>
      </c>
      <c r="I4" s="71" t="s">
        <v>112</v>
      </c>
      <c r="J4" s="70">
        <f>input!B19</f>
        <v>60.84</v>
      </c>
      <c r="K4" s="33"/>
      <c r="L4" s="259" t="s">
        <v>35</v>
      </c>
      <c r="M4" s="259"/>
      <c r="N4" s="31">
        <f>input!C8</f>
        <v>0.05</v>
      </c>
      <c r="O4" s="31">
        <f>input!D8</f>
        <v>0.05</v>
      </c>
      <c r="P4" s="44">
        <f>input!E8</f>
        <v>0.05</v>
      </c>
      <c r="Q4" s="31">
        <f>input!F8</f>
        <v>0.05</v>
      </c>
      <c r="R4">
        <v>4</v>
      </c>
    </row>
    <row r="5" spans="1:17" ht="13.5" thickBot="1">
      <c r="A5" t="s">
        <v>123</v>
      </c>
      <c r="C5" s="15">
        <f>input!B17</f>
        <v>0.25</v>
      </c>
      <c r="E5" s="45"/>
      <c r="G5" s="23"/>
      <c r="I5" s="71"/>
      <c r="J5" s="70"/>
      <c r="K5" s="33"/>
      <c r="L5" s="14"/>
      <c r="M5" s="14"/>
      <c r="N5" s="76"/>
      <c r="O5" s="76"/>
      <c r="P5" s="77"/>
      <c r="Q5" s="76"/>
    </row>
    <row r="6" spans="1:18" ht="13.5" thickBot="1">
      <c r="A6" t="s">
        <v>61</v>
      </c>
      <c r="C6" s="16"/>
      <c r="D6" t="s">
        <v>8</v>
      </c>
      <c r="E6" s="46"/>
      <c r="F6" t="s">
        <v>54</v>
      </c>
      <c r="G6" s="23">
        <f>SUM(D69:R69)/15</f>
        <v>0.09739999999999999</v>
      </c>
      <c r="H6" s="67" t="s">
        <v>119</v>
      </c>
      <c r="I6" s="71" t="s">
        <v>113</v>
      </c>
      <c r="J6" s="71"/>
      <c r="K6" s="33"/>
      <c r="L6" t="s">
        <v>37</v>
      </c>
      <c r="N6" s="35">
        <f>N4/12</f>
        <v>0.004166666666666667</v>
      </c>
      <c r="O6" s="35">
        <f>O4/12</f>
        <v>0.004166666666666667</v>
      </c>
      <c r="P6" s="35">
        <f>P4/12</f>
        <v>0.004166666666666667</v>
      </c>
      <c r="Q6" s="35">
        <f>Q4/12</f>
        <v>0.004166666666666667</v>
      </c>
      <c r="R6">
        <v>5</v>
      </c>
    </row>
    <row r="7" spans="1:18" ht="13.5" thickBot="1">
      <c r="A7" s="5" t="s">
        <v>5</v>
      </c>
      <c r="D7" s="17">
        <f>input!B13</f>
        <v>15000</v>
      </c>
      <c r="E7" t="s">
        <v>6</v>
      </c>
      <c r="H7" s="67">
        <f>input!F14</f>
        <v>8000</v>
      </c>
      <c r="I7" s="71" t="s">
        <v>111</v>
      </c>
      <c r="J7" s="71">
        <f>SUM(D70:R70)/15</f>
        <v>60.840000000000025</v>
      </c>
      <c r="K7" s="33"/>
      <c r="L7" t="s">
        <v>38</v>
      </c>
      <c r="N7" s="2">
        <f>C14-C15</f>
        <v>14000</v>
      </c>
      <c r="O7" s="2">
        <f>C26-C27</f>
        <v>19000</v>
      </c>
      <c r="P7" s="42">
        <f>C38-C39</f>
        <v>29780</v>
      </c>
      <c r="Q7" s="42">
        <f>C50-C51</f>
        <v>38000</v>
      </c>
      <c r="R7">
        <v>6</v>
      </c>
    </row>
    <row r="8" spans="1:18" ht="13.5" thickBot="1">
      <c r="A8" s="5" t="s">
        <v>20</v>
      </c>
      <c r="B8" s="3"/>
      <c r="D8" s="18">
        <f>input!C11</f>
        <v>29</v>
      </c>
      <c r="E8" t="s">
        <v>1</v>
      </c>
      <c r="F8" s="74">
        <f>input!E12</f>
        <v>4</v>
      </c>
      <c r="G8" s="24" t="s">
        <v>57</v>
      </c>
      <c r="H8" s="75">
        <f>input!F12</f>
        <v>4</v>
      </c>
      <c r="I8" s="50" t="s">
        <v>57</v>
      </c>
      <c r="K8" s="33"/>
      <c r="L8" t="s">
        <v>39</v>
      </c>
      <c r="N8" s="28">
        <f>(SUM(D15:H15)+D16)/60</f>
        <v>264.1972710161522</v>
      </c>
      <c r="O8" s="36">
        <f>(SUM(D27:H27)+D28)/60</f>
        <v>358.55343923620666</v>
      </c>
      <c r="P8" s="36">
        <f>(SUM(D39:H39)+D40)/60</f>
        <v>420.31867125197704</v>
      </c>
      <c r="Q8" s="36">
        <f>(SUM(D51:I51)+D52)/60</f>
        <v>575.4402118057466</v>
      </c>
      <c r="R8">
        <v>7</v>
      </c>
    </row>
    <row r="9" spans="1:18" ht="13.5" thickBot="1">
      <c r="A9" s="5" t="s">
        <v>21</v>
      </c>
      <c r="B9" s="3"/>
      <c r="D9" s="18">
        <f>input!D11</f>
        <v>45</v>
      </c>
      <c r="E9" t="s">
        <v>1</v>
      </c>
      <c r="K9" s="33"/>
      <c r="L9" t="s">
        <v>44</v>
      </c>
      <c r="N9">
        <f>C15*(D11/12)</f>
        <v>25</v>
      </c>
      <c r="O9">
        <f>C27*(D11/12)</f>
        <v>25</v>
      </c>
      <c r="P9">
        <f>C39*(D11/12)</f>
        <v>25</v>
      </c>
      <c r="Q9">
        <f>C51*(D11/12)</f>
        <v>25</v>
      </c>
      <c r="R9">
        <v>8</v>
      </c>
    </row>
    <row r="10" spans="1:11" ht="13.5" thickBot="1">
      <c r="A10" s="5" t="s">
        <v>118</v>
      </c>
      <c r="B10" s="3"/>
      <c r="D10" s="73">
        <f>input!F11</f>
        <v>34</v>
      </c>
      <c r="E10" t="s">
        <v>1</v>
      </c>
      <c r="K10" s="33"/>
    </row>
    <row r="11" spans="1:18" ht="13.5" thickBot="1">
      <c r="A11" s="5" t="s">
        <v>22</v>
      </c>
      <c r="B11" s="3"/>
      <c r="D11" s="16">
        <f>input!B20</f>
        <v>0.06</v>
      </c>
      <c r="K11" s="33"/>
      <c r="L11" s="33"/>
      <c r="M11" s="33"/>
      <c r="N11" s="33"/>
      <c r="O11" s="33"/>
      <c r="P11" s="33"/>
      <c r="Q11" s="33"/>
      <c r="R11" s="33"/>
    </row>
    <row r="12" ht="6.75" customHeight="1"/>
    <row r="13" spans="2:18" ht="13.5" thickBot="1">
      <c r="B13" s="4" t="s">
        <v>4</v>
      </c>
      <c r="C13" s="14">
        <v>0</v>
      </c>
      <c r="D13" s="14">
        <v>1</v>
      </c>
      <c r="E13" s="14">
        <v>2</v>
      </c>
      <c r="F13" s="14">
        <v>3</v>
      </c>
      <c r="G13" s="14">
        <v>4</v>
      </c>
      <c r="H13" s="14">
        <v>5</v>
      </c>
      <c r="I13" s="14">
        <v>6</v>
      </c>
      <c r="J13" s="14">
        <v>7</v>
      </c>
      <c r="K13" s="14">
        <v>8</v>
      </c>
      <c r="L13" s="14">
        <v>9</v>
      </c>
      <c r="M13" s="14">
        <v>10</v>
      </c>
      <c r="N13" s="14">
        <v>11</v>
      </c>
      <c r="O13" s="14">
        <v>12</v>
      </c>
      <c r="P13" s="14">
        <v>13</v>
      </c>
      <c r="Q13" s="14">
        <v>14</v>
      </c>
      <c r="R13" s="14">
        <v>15</v>
      </c>
    </row>
    <row r="14" spans="1:19" ht="16.5" thickBot="1">
      <c r="A14" s="55" t="s">
        <v>17</v>
      </c>
      <c r="B14" s="1" t="s">
        <v>33</v>
      </c>
      <c r="C14" s="19">
        <f>input!C5</f>
        <v>19000</v>
      </c>
      <c r="D14" s="56"/>
      <c r="E14" s="57"/>
      <c r="F14" s="56"/>
      <c r="G14" s="56"/>
      <c r="H14" s="56"/>
      <c r="I14" s="56"/>
      <c r="J14" s="56"/>
      <c r="K14" s="56"/>
      <c r="L14" s="56"/>
      <c r="M14" s="56"/>
      <c r="N14" s="56"/>
      <c r="O14" s="56"/>
      <c r="P14" s="56"/>
      <c r="Q14" s="56"/>
      <c r="R14" s="56"/>
      <c r="S14" s="55" t="s">
        <v>23</v>
      </c>
    </row>
    <row r="15" spans="1:19" ht="13.5" thickBot="1">
      <c r="A15" t="s">
        <v>45</v>
      </c>
      <c r="C15" s="19">
        <f>input!C6</f>
        <v>5000</v>
      </c>
      <c r="D15" s="2">
        <f>-PMT($N$4/12,$N$3,$N$7)*12</f>
        <v>3170.367252193826</v>
      </c>
      <c r="E15" s="2">
        <f>-PMT($N$4/12,$N$3,$N$7)*12</f>
        <v>3170.367252193826</v>
      </c>
      <c r="F15" s="2">
        <f>-PMT($N$4/12,$N$3,$N$7)*12</f>
        <v>3170.367252193826</v>
      </c>
      <c r="G15" s="2">
        <f>-PMT($N$4/12,$N$3,$N$7)*12</f>
        <v>3170.367252193826</v>
      </c>
      <c r="H15" s="2">
        <f>-PMT($N$4/12,$N$3,$N$7)*12</f>
        <v>3170.367252193826</v>
      </c>
      <c r="I15" s="2"/>
      <c r="J15" s="2"/>
      <c r="K15" s="2"/>
      <c r="L15" s="2"/>
      <c r="M15" s="2"/>
      <c r="S15" t="s">
        <v>45</v>
      </c>
    </row>
    <row r="16" spans="1:19" ht="13.5" thickBot="1">
      <c r="A16" t="s">
        <v>3</v>
      </c>
      <c r="B16" s="20">
        <v>0</v>
      </c>
      <c r="C16" s="25"/>
      <c r="D16" s="2">
        <f>-B16</f>
        <v>0</v>
      </c>
      <c r="E16" s="2"/>
      <c r="F16" s="2"/>
      <c r="G16" s="2"/>
      <c r="H16" s="2"/>
      <c r="I16" s="2"/>
      <c r="J16" s="2"/>
      <c r="K16" s="2"/>
      <c r="L16" s="2"/>
      <c r="M16" s="2"/>
      <c r="S16" t="s">
        <v>3</v>
      </c>
    </row>
    <row r="17" spans="1:19" ht="12.75">
      <c r="A17" t="s">
        <v>7</v>
      </c>
      <c r="C17" s="2"/>
      <c r="D17" s="2">
        <f>($D$7/$D$8)*($C$4)</f>
        <v>2068.9655172413795</v>
      </c>
      <c r="E17" s="2">
        <f aca="true" t="shared" si="0" ref="E17:R17">($D$7/$D$8)*($C$4)</f>
        <v>2068.9655172413795</v>
      </c>
      <c r="F17" s="2">
        <f t="shared" si="0"/>
        <v>2068.9655172413795</v>
      </c>
      <c r="G17" s="2">
        <f t="shared" si="0"/>
        <v>2068.9655172413795</v>
      </c>
      <c r="H17" s="2">
        <f t="shared" si="0"/>
        <v>2068.9655172413795</v>
      </c>
      <c r="I17" s="2">
        <f t="shared" si="0"/>
        <v>2068.9655172413795</v>
      </c>
      <c r="J17" s="2">
        <f t="shared" si="0"/>
        <v>2068.9655172413795</v>
      </c>
      <c r="K17" s="2">
        <f t="shared" si="0"/>
        <v>2068.9655172413795</v>
      </c>
      <c r="L17" s="2">
        <f t="shared" si="0"/>
        <v>2068.9655172413795</v>
      </c>
      <c r="M17" s="2">
        <f t="shared" si="0"/>
        <v>2068.9655172413795</v>
      </c>
      <c r="N17" s="2">
        <f t="shared" si="0"/>
        <v>2068.9655172413795</v>
      </c>
      <c r="O17" s="2">
        <f t="shared" si="0"/>
        <v>2068.9655172413795</v>
      </c>
      <c r="P17" s="2">
        <f t="shared" si="0"/>
        <v>2068.9655172413795</v>
      </c>
      <c r="Q17" s="2">
        <f t="shared" si="0"/>
        <v>2068.9655172413795</v>
      </c>
      <c r="R17" s="2">
        <f t="shared" si="0"/>
        <v>2068.9655172413795</v>
      </c>
      <c r="S17" t="s">
        <v>7</v>
      </c>
    </row>
    <row r="18" spans="1:19" ht="12.75">
      <c r="A18" t="s">
        <v>14</v>
      </c>
      <c r="B18" s="22"/>
      <c r="C18" s="22"/>
      <c r="D18" s="2"/>
      <c r="E18" s="2"/>
      <c r="F18" s="2"/>
      <c r="G18" s="2"/>
      <c r="H18" s="2"/>
      <c r="I18" s="2"/>
      <c r="J18" s="2"/>
      <c r="K18" s="2"/>
      <c r="L18" s="2"/>
      <c r="M18" s="2"/>
      <c r="N18" s="2"/>
      <c r="O18" s="2"/>
      <c r="P18" s="2"/>
      <c r="Q18" s="2"/>
      <c r="R18" s="2"/>
      <c r="S18" t="s">
        <v>14</v>
      </c>
    </row>
    <row r="19" spans="1:19" ht="12.75">
      <c r="A19" s="83" t="s">
        <v>129</v>
      </c>
      <c r="B19" s="72"/>
      <c r="C19" s="72"/>
      <c r="D19" s="89"/>
      <c r="E19" s="89"/>
      <c r="F19" s="89"/>
      <c r="G19" s="89"/>
      <c r="H19" s="89"/>
      <c r="I19" s="89"/>
      <c r="J19" s="89"/>
      <c r="K19" s="89"/>
      <c r="L19" s="89"/>
      <c r="M19" s="89"/>
      <c r="N19" s="89"/>
      <c r="O19" s="89"/>
      <c r="P19" s="89"/>
      <c r="Q19" s="89"/>
      <c r="R19" s="89"/>
      <c r="S19" s="83" t="s">
        <v>129</v>
      </c>
    </row>
    <row r="20" spans="1:19" ht="12.75">
      <c r="A20" t="s">
        <v>62</v>
      </c>
      <c r="B20" s="32"/>
      <c r="C20" s="32"/>
      <c r="D20" s="2">
        <f>$J$4*($D$7/3000)</f>
        <v>304.20000000000005</v>
      </c>
      <c r="E20" s="2">
        <f aca="true" t="shared" si="1" ref="E20:R20">$J$4*($D$7/3000)</f>
        <v>304.20000000000005</v>
      </c>
      <c r="F20" s="2">
        <f t="shared" si="1"/>
        <v>304.20000000000005</v>
      </c>
      <c r="G20" s="2">
        <f t="shared" si="1"/>
        <v>304.20000000000005</v>
      </c>
      <c r="H20" s="2">
        <f t="shared" si="1"/>
        <v>304.20000000000005</v>
      </c>
      <c r="I20" s="2">
        <f t="shared" si="1"/>
        <v>304.20000000000005</v>
      </c>
      <c r="J20" s="2">
        <f t="shared" si="1"/>
        <v>304.20000000000005</v>
      </c>
      <c r="K20" s="2">
        <f t="shared" si="1"/>
        <v>304.20000000000005</v>
      </c>
      <c r="L20" s="2">
        <f t="shared" si="1"/>
        <v>304.20000000000005</v>
      </c>
      <c r="M20" s="2">
        <f t="shared" si="1"/>
        <v>304.20000000000005</v>
      </c>
      <c r="N20" s="2">
        <f t="shared" si="1"/>
        <v>304.20000000000005</v>
      </c>
      <c r="O20" s="2">
        <f t="shared" si="1"/>
        <v>304.20000000000005</v>
      </c>
      <c r="P20" s="2">
        <f t="shared" si="1"/>
        <v>304.20000000000005</v>
      </c>
      <c r="Q20" s="2">
        <f t="shared" si="1"/>
        <v>304.20000000000005</v>
      </c>
      <c r="R20" s="2">
        <f t="shared" si="1"/>
        <v>304.20000000000005</v>
      </c>
      <c r="S20" t="s">
        <v>62</v>
      </c>
    </row>
    <row r="21" spans="1:19" ht="12.75">
      <c r="A21" s="5" t="s">
        <v>24</v>
      </c>
      <c r="C21" s="2">
        <f>SUM(C15:C18)</f>
        <v>5000</v>
      </c>
      <c r="D21" s="2">
        <f aca="true" t="shared" si="2" ref="D21:R21">SUM(D15:D20)</f>
        <v>5543.532769435205</v>
      </c>
      <c r="E21" s="2">
        <f t="shared" si="2"/>
        <v>5543.532769435205</v>
      </c>
      <c r="F21" s="2">
        <f t="shared" si="2"/>
        <v>5543.532769435205</v>
      </c>
      <c r="G21" s="2">
        <f t="shared" si="2"/>
        <v>5543.532769435205</v>
      </c>
      <c r="H21" s="2">
        <f t="shared" si="2"/>
        <v>5543.532769435205</v>
      </c>
      <c r="I21" s="2">
        <f t="shared" si="2"/>
        <v>2373.1655172413793</v>
      </c>
      <c r="J21" s="2">
        <f t="shared" si="2"/>
        <v>2373.1655172413793</v>
      </c>
      <c r="K21" s="2">
        <f t="shared" si="2"/>
        <v>2373.1655172413793</v>
      </c>
      <c r="L21" s="2">
        <f t="shared" si="2"/>
        <v>2373.1655172413793</v>
      </c>
      <c r="M21" s="2">
        <f t="shared" si="2"/>
        <v>2373.1655172413793</v>
      </c>
      <c r="N21" s="2">
        <f t="shared" si="2"/>
        <v>2373.1655172413793</v>
      </c>
      <c r="O21" s="2">
        <f t="shared" si="2"/>
        <v>2373.1655172413793</v>
      </c>
      <c r="P21" s="2">
        <f t="shared" si="2"/>
        <v>2373.1655172413793</v>
      </c>
      <c r="Q21" s="2">
        <f t="shared" si="2"/>
        <v>2373.1655172413793</v>
      </c>
      <c r="R21" s="2">
        <f t="shared" si="2"/>
        <v>2373.1655172413793</v>
      </c>
      <c r="S21" s="5" t="s">
        <v>24</v>
      </c>
    </row>
    <row r="22" spans="1:19" ht="12.75" customHeight="1">
      <c r="A22" t="s">
        <v>25</v>
      </c>
      <c r="C22" s="26">
        <f>C21*(1+$D$11)^C13</f>
        <v>5000</v>
      </c>
      <c r="D22" s="26">
        <f aca="true" t="shared" si="3" ref="D22:R22">D21*(1+$D$11)^-D13</f>
        <v>5229.747895693589</v>
      </c>
      <c r="E22" s="26">
        <f t="shared" si="3"/>
        <v>4933.724429899613</v>
      </c>
      <c r="F22" s="26">
        <f t="shared" si="3"/>
        <v>4654.457009339257</v>
      </c>
      <c r="G22" s="26">
        <f t="shared" si="3"/>
        <v>4390.99717862194</v>
      </c>
      <c r="H22" s="26">
        <f t="shared" si="3"/>
        <v>4142.450168511264</v>
      </c>
      <c r="I22" s="26">
        <f t="shared" si="3"/>
        <v>1672.9880455872867</v>
      </c>
      <c r="J22" s="26">
        <f t="shared" si="3"/>
        <v>1578.2906090446097</v>
      </c>
      <c r="K22" s="26">
        <f t="shared" si="3"/>
        <v>1488.953404759066</v>
      </c>
      <c r="L22" s="26">
        <f t="shared" si="3"/>
        <v>1404.6730233576093</v>
      </c>
      <c r="M22" s="26">
        <f t="shared" si="3"/>
        <v>1325.1632295826503</v>
      </c>
      <c r="N22" s="26">
        <f t="shared" si="3"/>
        <v>1250.1539901723115</v>
      </c>
      <c r="O22" s="26">
        <f t="shared" si="3"/>
        <v>1179.3905567663314</v>
      </c>
      <c r="P22" s="26">
        <f t="shared" si="3"/>
        <v>1112.6326007229543</v>
      </c>
      <c r="Q22" s="26">
        <f t="shared" si="3"/>
        <v>1049.6533969084473</v>
      </c>
      <c r="R22" s="26">
        <f t="shared" si="3"/>
        <v>990.2390536872142</v>
      </c>
      <c r="S22" t="s">
        <v>25</v>
      </c>
    </row>
    <row r="23" spans="1:19" ht="12.75">
      <c r="A23" t="s">
        <v>49</v>
      </c>
      <c r="C23" s="21">
        <f>C22</f>
        <v>5000</v>
      </c>
      <c r="D23" s="21">
        <f aca="true" t="shared" si="4" ref="D23:R23">C23+D22</f>
        <v>10229.747895693588</v>
      </c>
      <c r="E23" s="21">
        <f t="shared" si="4"/>
        <v>15163.4723255932</v>
      </c>
      <c r="F23" s="21">
        <f t="shared" si="4"/>
        <v>19817.929334932458</v>
      </c>
      <c r="G23" s="21">
        <f t="shared" si="4"/>
        <v>24208.926513554397</v>
      </c>
      <c r="H23" s="21">
        <f t="shared" si="4"/>
        <v>28351.37668206566</v>
      </c>
      <c r="I23" s="21">
        <f t="shared" si="4"/>
        <v>30024.36472765295</v>
      </c>
      <c r="J23" s="21">
        <f t="shared" si="4"/>
        <v>31602.655336697557</v>
      </c>
      <c r="K23" s="21">
        <f t="shared" si="4"/>
        <v>33091.60874145662</v>
      </c>
      <c r="L23" s="21">
        <f t="shared" si="4"/>
        <v>34496.28176481423</v>
      </c>
      <c r="M23" s="21">
        <f t="shared" si="4"/>
        <v>35821.44499439688</v>
      </c>
      <c r="N23" s="21">
        <f t="shared" si="4"/>
        <v>37071.59898456919</v>
      </c>
      <c r="O23" s="21">
        <f t="shared" si="4"/>
        <v>38250.98954133552</v>
      </c>
      <c r="P23" s="21">
        <f t="shared" si="4"/>
        <v>39363.62214205847</v>
      </c>
      <c r="Q23" s="21">
        <f t="shared" si="4"/>
        <v>40413.27553896692</v>
      </c>
      <c r="R23" s="21">
        <f t="shared" si="4"/>
        <v>41403.51459265413</v>
      </c>
      <c r="S23" t="s">
        <v>49</v>
      </c>
    </row>
    <row r="24" spans="1:18" ht="12.75">
      <c r="A24" s="5" t="s">
        <v>29</v>
      </c>
      <c r="B24" s="12">
        <f>$D$7/$D$8</f>
        <v>517.2413793103449</v>
      </c>
      <c r="C24" s="2"/>
      <c r="D24" s="10"/>
      <c r="E24" s="10"/>
      <c r="F24" s="10"/>
      <c r="G24" s="10"/>
      <c r="H24" s="10"/>
      <c r="I24" s="10"/>
      <c r="J24" s="10"/>
      <c r="K24" s="10"/>
      <c r="L24" s="10"/>
      <c r="M24" s="10"/>
      <c r="N24" s="10"/>
      <c r="O24" s="10"/>
      <c r="P24" s="10"/>
      <c r="Q24" s="10"/>
      <c r="R24" s="10"/>
    </row>
    <row r="25" spans="1:18" ht="13.5" thickBot="1">
      <c r="A25" s="5"/>
      <c r="B25" s="88"/>
      <c r="C25" s="2"/>
      <c r="D25" s="10"/>
      <c r="E25" s="10"/>
      <c r="F25" s="10"/>
      <c r="G25" s="10"/>
      <c r="H25" s="10"/>
      <c r="I25" s="10"/>
      <c r="J25" s="10"/>
      <c r="K25" s="10"/>
      <c r="L25" s="10"/>
      <c r="M25" s="10"/>
      <c r="N25" s="10"/>
      <c r="O25" s="10"/>
      <c r="P25" s="10"/>
      <c r="Q25" s="10"/>
      <c r="R25" s="10"/>
    </row>
    <row r="26" spans="1:19" ht="16.5" thickBot="1">
      <c r="A26" s="58" t="s">
        <v>18</v>
      </c>
      <c r="B26" s="1" t="s">
        <v>33</v>
      </c>
      <c r="C26" s="19">
        <f>input!D5</f>
        <v>24000</v>
      </c>
      <c r="D26" s="59"/>
      <c r="E26" s="59"/>
      <c r="F26" s="59"/>
      <c r="G26" s="59"/>
      <c r="H26" s="59"/>
      <c r="I26" s="59"/>
      <c r="J26" s="59"/>
      <c r="K26" s="59"/>
      <c r="L26" s="59"/>
      <c r="M26" s="59"/>
      <c r="N26" s="53"/>
      <c r="O26" s="53"/>
      <c r="P26" s="53"/>
      <c r="Q26" s="53"/>
      <c r="R26" s="53"/>
      <c r="S26" s="58" t="s">
        <v>18</v>
      </c>
    </row>
    <row r="27" spans="1:19" ht="13.5" thickBot="1">
      <c r="A27" t="s">
        <v>45</v>
      </c>
      <c r="C27" s="19">
        <f>input!D6</f>
        <v>5000</v>
      </c>
      <c r="D27" s="2">
        <f>-PMT($O$4/12,$O$3,$O$7)*12</f>
        <v>4302.64127083448</v>
      </c>
      <c r="E27" s="2">
        <f>-PMT($O$4/12,$O$3,$O$7)*12</f>
        <v>4302.64127083448</v>
      </c>
      <c r="F27" s="2">
        <f>-PMT($O$4/12,$O$3,$O$7)*12</f>
        <v>4302.64127083448</v>
      </c>
      <c r="G27" s="2">
        <f>-PMT($O$4/12,$O$3,$O$7)*12</f>
        <v>4302.64127083448</v>
      </c>
      <c r="H27" s="2">
        <f>-PMT($O$4/12,$O$3,$O$7)*12</f>
        <v>4302.64127083448</v>
      </c>
      <c r="I27" s="2"/>
      <c r="J27" s="2"/>
      <c r="K27" s="2"/>
      <c r="L27" s="2"/>
      <c r="M27" s="2"/>
      <c r="S27" t="s">
        <v>45</v>
      </c>
    </row>
    <row r="28" spans="1:19" ht="13.5" thickBot="1">
      <c r="A28" t="s">
        <v>3</v>
      </c>
      <c r="B28" s="19">
        <f>input!D9</f>
        <v>0</v>
      </c>
      <c r="C28" s="25"/>
      <c r="D28" s="2">
        <f>-B28</f>
        <v>0</v>
      </c>
      <c r="E28" s="2"/>
      <c r="F28" s="2"/>
      <c r="G28" s="2"/>
      <c r="H28" s="2"/>
      <c r="I28" s="2"/>
      <c r="J28" s="2"/>
      <c r="K28" s="2"/>
      <c r="L28" s="2"/>
      <c r="M28" s="2"/>
      <c r="S28" t="s">
        <v>3</v>
      </c>
    </row>
    <row r="29" spans="1:19" ht="13.5" thickBot="1">
      <c r="A29" t="s">
        <v>7</v>
      </c>
      <c r="C29" s="2"/>
      <c r="D29" s="2">
        <f>($D$7/$D$9)*($C$4)</f>
        <v>1333.3333333333333</v>
      </c>
      <c r="E29" s="2">
        <f aca="true" t="shared" si="5" ref="E29:R29">($D$7/$D$9)*($C$4)</f>
        <v>1333.3333333333333</v>
      </c>
      <c r="F29" s="2">
        <f t="shared" si="5"/>
        <v>1333.3333333333333</v>
      </c>
      <c r="G29" s="2">
        <f t="shared" si="5"/>
        <v>1333.3333333333333</v>
      </c>
      <c r="H29" s="2">
        <f t="shared" si="5"/>
        <v>1333.3333333333333</v>
      </c>
      <c r="I29" s="2">
        <f t="shared" si="5"/>
        <v>1333.3333333333333</v>
      </c>
      <c r="J29" s="2">
        <f t="shared" si="5"/>
        <v>1333.3333333333333</v>
      </c>
      <c r="K29" s="2">
        <f t="shared" si="5"/>
        <v>1333.3333333333333</v>
      </c>
      <c r="L29" s="2">
        <f t="shared" si="5"/>
        <v>1333.3333333333333</v>
      </c>
      <c r="M29" s="2">
        <f t="shared" si="5"/>
        <v>1333.3333333333333</v>
      </c>
      <c r="N29" s="2">
        <f t="shared" si="5"/>
        <v>1333.3333333333333</v>
      </c>
      <c r="O29" s="2">
        <f t="shared" si="5"/>
        <v>1333.3333333333333</v>
      </c>
      <c r="P29" s="2">
        <f t="shared" si="5"/>
        <v>1333.3333333333333</v>
      </c>
      <c r="Q29" s="2">
        <f t="shared" si="5"/>
        <v>1333.3333333333333</v>
      </c>
      <c r="R29" s="2">
        <f t="shared" si="5"/>
        <v>1333.3333333333333</v>
      </c>
      <c r="S29" t="s">
        <v>7</v>
      </c>
    </row>
    <row r="30" spans="1:19" ht="12.75">
      <c r="A30" t="s">
        <v>14</v>
      </c>
      <c r="B30" s="84">
        <f>input!D10</f>
        <v>2000</v>
      </c>
      <c r="C30" s="2"/>
      <c r="D30" s="2"/>
      <c r="E30" s="2"/>
      <c r="F30" s="2"/>
      <c r="G30" s="2"/>
      <c r="H30" s="2"/>
      <c r="I30" s="2"/>
      <c r="J30" s="2"/>
      <c r="K30" s="2">
        <f>B30</f>
        <v>2000</v>
      </c>
      <c r="L30" s="2"/>
      <c r="M30" s="2"/>
      <c r="N30" s="2"/>
      <c r="O30" s="2"/>
      <c r="P30" s="2"/>
      <c r="Q30" s="2"/>
      <c r="R30" s="2"/>
      <c r="S30" t="s">
        <v>14</v>
      </c>
    </row>
    <row r="31" spans="1:19" ht="12.75">
      <c r="A31" s="83" t="s">
        <v>129</v>
      </c>
      <c r="B31" s="85"/>
      <c r="C31" s="2"/>
      <c r="D31" s="89"/>
      <c r="E31" s="89"/>
      <c r="F31" s="89"/>
      <c r="G31" s="89"/>
      <c r="H31" s="89"/>
      <c r="I31" s="89"/>
      <c r="J31" s="89"/>
      <c r="K31" s="89"/>
      <c r="L31" s="89"/>
      <c r="M31" s="89"/>
      <c r="N31" s="89"/>
      <c r="O31" s="89"/>
      <c r="P31" s="89"/>
      <c r="Q31" s="89"/>
      <c r="R31" s="89"/>
      <c r="S31" s="83" t="s">
        <v>129</v>
      </c>
    </row>
    <row r="32" spans="1:19" ht="12.75">
      <c r="A32" t="s">
        <v>62</v>
      </c>
      <c r="B32" s="54"/>
      <c r="C32" s="2"/>
      <c r="D32" s="2">
        <f>$J$4*($D$7/3000)</f>
        <v>304.20000000000005</v>
      </c>
      <c r="E32" s="2">
        <f aca="true" t="shared" si="6" ref="E32:R32">$J$4*($D$7/3000)</f>
        <v>304.20000000000005</v>
      </c>
      <c r="F32" s="2">
        <f t="shared" si="6"/>
        <v>304.20000000000005</v>
      </c>
      <c r="G32" s="2">
        <f t="shared" si="6"/>
        <v>304.20000000000005</v>
      </c>
      <c r="H32" s="2">
        <f t="shared" si="6"/>
        <v>304.20000000000005</v>
      </c>
      <c r="I32" s="2">
        <f t="shared" si="6"/>
        <v>304.20000000000005</v>
      </c>
      <c r="J32" s="2">
        <f t="shared" si="6"/>
        <v>304.20000000000005</v>
      </c>
      <c r="K32" s="2">
        <f t="shared" si="6"/>
        <v>304.20000000000005</v>
      </c>
      <c r="L32" s="2">
        <f t="shared" si="6"/>
        <v>304.20000000000005</v>
      </c>
      <c r="M32" s="2">
        <f t="shared" si="6"/>
        <v>304.20000000000005</v>
      </c>
      <c r="N32" s="2">
        <f t="shared" si="6"/>
        <v>304.20000000000005</v>
      </c>
      <c r="O32" s="2">
        <f t="shared" si="6"/>
        <v>304.20000000000005</v>
      </c>
      <c r="P32" s="2">
        <f t="shared" si="6"/>
        <v>304.20000000000005</v>
      </c>
      <c r="Q32" s="2">
        <f t="shared" si="6"/>
        <v>304.20000000000005</v>
      </c>
      <c r="R32" s="2">
        <f t="shared" si="6"/>
        <v>304.20000000000005</v>
      </c>
      <c r="S32" t="s">
        <v>62</v>
      </c>
    </row>
    <row r="33" spans="1:20" ht="12.75">
      <c r="A33" s="5" t="s">
        <v>24</v>
      </c>
      <c r="C33" s="2">
        <f>SUM(C27:C30)</f>
        <v>5000</v>
      </c>
      <c r="D33" s="2">
        <f>SUM(D27:D32)</f>
        <v>5940.1746041678125</v>
      </c>
      <c r="E33" s="2">
        <f aca="true" t="shared" si="7" ref="E33:P33">SUM(E27:E32)</f>
        <v>5940.1746041678125</v>
      </c>
      <c r="F33" s="2">
        <f t="shared" si="7"/>
        <v>5940.1746041678125</v>
      </c>
      <c r="G33" s="2">
        <f t="shared" si="7"/>
        <v>5940.1746041678125</v>
      </c>
      <c r="H33" s="2">
        <f t="shared" si="7"/>
        <v>5940.1746041678125</v>
      </c>
      <c r="I33" s="2">
        <f t="shared" si="7"/>
        <v>1637.5333333333333</v>
      </c>
      <c r="J33" s="2">
        <f t="shared" si="7"/>
        <v>1637.5333333333333</v>
      </c>
      <c r="K33" s="2">
        <f t="shared" si="7"/>
        <v>3637.533333333333</v>
      </c>
      <c r="L33" s="2">
        <f t="shared" si="7"/>
        <v>1637.5333333333333</v>
      </c>
      <c r="M33" s="2">
        <f t="shared" si="7"/>
        <v>1637.5333333333333</v>
      </c>
      <c r="N33" s="2">
        <f t="shared" si="7"/>
        <v>1637.5333333333333</v>
      </c>
      <c r="O33" s="2">
        <f t="shared" si="7"/>
        <v>1637.5333333333333</v>
      </c>
      <c r="P33" s="2">
        <f t="shared" si="7"/>
        <v>1637.5333333333333</v>
      </c>
      <c r="Q33" s="2">
        <f>SUM(Q27:Q30)</f>
        <v>1333.3333333333333</v>
      </c>
      <c r="R33" s="2">
        <f>SUM(R27:R30)</f>
        <v>1333.3333333333333</v>
      </c>
      <c r="S33" s="5" t="s">
        <v>24</v>
      </c>
      <c r="T33" s="5"/>
    </row>
    <row r="34" spans="1:19" ht="12.75">
      <c r="A34" t="s">
        <v>25</v>
      </c>
      <c r="C34" s="26">
        <f>C33*(1+$D$11)^C13</f>
        <v>5000</v>
      </c>
      <c r="D34" s="26">
        <f aca="true" t="shared" si="8" ref="D34:R34">D33*(1+$D$11)^-D13</f>
        <v>5603.93830581869</v>
      </c>
      <c r="E34" s="26">
        <f t="shared" si="8"/>
        <v>5286.73425077235</v>
      </c>
      <c r="F34" s="26">
        <f t="shared" si="8"/>
        <v>4987.485142238064</v>
      </c>
      <c r="G34" s="26">
        <f t="shared" si="8"/>
        <v>4705.174662488741</v>
      </c>
      <c r="H34" s="26">
        <f t="shared" si="8"/>
        <v>4438.844021215792</v>
      </c>
      <c r="I34" s="26">
        <f t="shared" si="8"/>
        <v>1154.3963836546511</v>
      </c>
      <c r="J34" s="26">
        <f t="shared" si="8"/>
        <v>1089.0531921270292</v>
      </c>
      <c r="K34" s="26">
        <f t="shared" si="8"/>
        <v>2282.233414501605</v>
      </c>
      <c r="L34" s="26">
        <f t="shared" si="8"/>
        <v>969.2534639792002</v>
      </c>
      <c r="M34" s="26">
        <f t="shared" si="8"/>
        <v>914.3900603577359</v>
      </c>
      <c r="N34" s="26">
        <f t="shared" si="8"/>
        <v>862.6321324129583</v>
      </c>
      <c r="O34" s="26">
        <f t="shared" si="8"/>
        <v>813.8038985027908</v>
      </c>
      <c r="P34" s="26">
        <f t="shared" si="8"/>
        <v>767.7395268894253</v>
      </c>
      <c r="Q34" s="26">
        <f t="shared" si="8"/>
        <v>589.7346191728972</v>
      </c>
      <c r="R34" s="26">
        <f t="shared" si="8"/>
        <v>556.3534143140538</v>
      </c>
      <c r="S34" t="s">
        <v>25</v>
      </c>
    </row>
    <row r="35" spans="1:19" ht="12.75">
      <c r="A35" t="s">
        <v>49</v>
      </c>
      <c r="C35" s="21">
        <f>C34</f>
        <v>5000</v>
      </c>
      <c r="D35" s="21">
        <f aca="true" t="shared" si="9" ref="D35:R35">C35+D34</f>
        <v>10603.93830581869</v>
      </c>
      <c r="E35" s="21">
        <f t="shared" si="9"/>
        <v>15890.67255659104</v>
      </c>
      <c r="F35" s="21">
        <f t="shared" si="9"/>
        <v>20878.157698829105</v>
      </c>
      <c r="G35" s="21">
        <f t="shared" si="9"/>
        <v>25583.332361317847</v>
      </c>
      <c r="H35" s="21">
        <f t="shared" si="9"/>
        <v>30022.17638253364</v>
      </c>
      <c r="I35" s="21">
        <f t="shared" si="9"/>
        <v>31176.57276618829</v>
      </c>
      <c r="J35" s="21">
        <f t="shared" si="9"/>
        <v>32265.62595831532</v>
      </c>
      <c r="K35" s="21">
        <f t="shared" si="9"/>
        <v>34547.85937281692</v>
      </c>
      <c r="L35" s="21">
        <f t="shared" si="9"/>
        <v>35517.11283679612</v>
      </c>
      <c r="M35" s="21">
        <f t="shared" si="9"/>
        <v>36431.502897153856</v>
      </c>
      <c r="N35" s="21">
        <f t="shared" si="9"/>
        <v>37294.135029566816</v>
      </c>
      <c r="O35" s="21">
        <f t="shared" si="9"/>
        <v>38107.938928069605</v>
      </c>
      <c r="P35" s="21">
        <f t="shared" si="9"/>
        <v>38875.67845495903</v>
      </c>
      <c r="Q35" s="21">
        <f t="shared" si="9"/>
        <v>39465.413074131924</v>
      </c>
      <c r="R35" s="21">
        <f t="shared" si="9"/>
        <v>40021.76648844598</v>
      </c>
      <c r="S35" t="s">
        <v>49</v>
      </c>
    </row>
    <row r="36" spans="1:20" ht="12.75">
      <c r="A36" s="5" t="s">
        <v>29</v>
      </c>
      <c r="B36" s="13">
        <f>$D$7/$D$9</f>
        <v>333.3333333333333</v>
      </c>
      <c r="D36" s="11"/>
      <c r="E36" s="11"/>
      <c r="F36" s="11"/>
      <c r="G36" s="11"/>
      <c r="H36" s="11"/>
      <c r="I36" s="11"/>
      <c r="J36" s="11"/>
      <c r="K36" s="11"/>
      <c r="L36" s="11"/>
      <c r="M36" s="11"/>
      <c r="N36" s="11"/>
      <c r="O36" s="11"/>
      <c r="P36" s="11"/>
      <c r="Q36" s="11"/>
      <c r="R36" s="11"/>
      <c r="S36" s="5" t="s">
        <v>29</v>
      </c>
      <c r="T36" s="5"/>
    </row>
    <row r="37" spans="1:20" ht="13.5" thickBot="1">
      <c r="A37" s="5"/>
      <c r="B37" s="86"/>
      <c r="D37" s="11"/>
      <c r="E37" s="11"/>
      <c r="F37" s="11"/>
      <c r="G37" s="11"/>
      <c r="H37" s="11"/>
      <c r="I37" s="11"/>
      <c r="J37" s="11"/>
      <c r="K37" s="11"/>
      <c r="L37" s="11"/>
      <c r="M37" s="11"/>
      <c r="N37" s="11"/>
      <c r="O37" s="11"/>
      <c r="P37" s="11"/>
      <c r="Q37" s="11"/>
      <c r="R37" s="11"/>
      <c r="S37" s="5"/>
      <c r="T37" s="5"/>
    </row>
    <row r="38" spans="1:19" ht="15.75" customHeight="1" thickBot="1">
      <c r="A38" s="60" t="s">
        <v>50</v>
      </c>
      <c r="B38" s="1" t="s">
        <v>33</v>
      </c>
      <c r="C38" s="19">
        <f>input!E5</f>
        <v>34780</v>
      </c>
      <c r="D38" s="61"/>
      <c r="E38" s="61"/>
      <c r="F38" s="61"/>
      <c r="G38" s="61"/>
      <c r="H38" s="61"/>
      <c r="I38" s="61"/>
      <c r="J38" s="61"/>
      <c r="K38" s="61"/>
      <c r="L38" s="61"/>
      <c r="M38" s="61"/>
      <c r="N38" s="33"/>
      <c r="O38" s="33"/>
      <c r="P38" s="33"/>
      <c r="Q38" s="33"/>
      <c r="R38" s="33"/>
      <c r="S38" s="60" t="s">
        <v>50</v>
      </c>
    </row>
    <row r="39" spans="1:19" ht="12" customHeight="1" thickBot="1">
      <c r="A39" t="s">
        <v>45</v>
      </c>
      <c r="C39" s="19">
        <f>input!E6</f>
        <v>5000</v>
      </c>
      <c r="D39" s="2">
        <f>-PMT($P$4/12,$P$3,$P$7)*12</f>
        <v>6743.824055023724</v>
      </c>
      <c r="E39" s="2">
        <f>-PMT($P$4/12,$P$3,$P$7)*12</f>
        <v>6743.824055023724</v>
      </c>
      <c r="F39" s="2">
        <f>-PMT($P$4/12,$P$3,$P$7)*12</f>
        <v>6743.824055023724</v>
      </c>
      <c r="G39" s="2">
        <f>-PMT($P$4/12,$P$3,$P$7)*12</f>
        <v>6743.824055023724</v>
      </c>
      <c r="H39" s="2">
        <f>-PMT($P$4/12,$P$3,$P$7)*12</f>
        <v>6743.824055023724</v>
      </c>
      <c r="I39" s="2"/>
      <c r="J39" s="2"/>
      <c r="K39" s="2"/>
      <c r="L39" s="2"/>
      <c r="M39" s="2"/>
      <c r="S39" t="s">
        <v>0</v>
      </c>
    </row>
    <row r="40" spans="1:19" ht="12" customHeight="1" thickBot="1">
      <c r="A40" t="s">
        <v>3</v>
      </c>
      <c r="B40" s="19">
        <f>input!E9</f>
        <v>8500</v>
      </c>
      <c r="C40" s="25"/>
      <c r="D40" s="2">
        <f>-B40</f>
        <v>-8500</v>
      </c>
      <c r="E40" s="2"/>
      <c r="F40" s="2"/>
      <c r="G40" s="2"/>
      <c r="H40" s="2"/>
      <c r="I40" s="2"/>
      <c r="J40" s="2"/>
      <c r="K40" s="2"/>
      <c r="L40" s="2"/>
      <c r="M40" s="2"/>
      <c r="S40" t="s">
        <v>3</v>
      </c>
    </row>
    <row r="41" spans="1:19" ht="12" customHeight="1" thickBot="1">
      <c r="A41" s="32" t="s">
        <v>51</v>
      </c>
      <c r="C41" s="2"/>
      <c r="D41" s="2">
        <f>($D$7/$F$8)*($E$4)</f>
        <v>365.25</v>
      </c>
      <c r="E41" s="2">
        <f aca="true" t="shared" si="10" ref="E41:R41">($D$7/$F$8)*($E$4)</f>
        <v>365.25</v>
      </c>
      <c r="F41" s="2">
        <f t="shared" si="10"/>
        <v>365.25</v>
      </c>
      <c r="G41" s="2">
        <f t="shared" si="10"/>
        <v>365.25</v>
      </c>
      <c r="H41" s="2">
        <f t="shared" si="10"/>
        <v>365.25</v>
      </c>
      <c r="I41" s="2">
        <f t="shared" si="10"/>
        <v>365.25</v>
      </c>
      <c r="J41" s="2">
        <f t="shared" si="10"/>
        <v>365.25</v>
      </c>
      <c r="K41" s="2">
        <f t="shared" si="10"/>
        <v>365.25</v>
      </c>
      <c r="L41" s="2">
        <f t="shared" si="10"/>
        <v>365.25</v>
      </c>
      <c r="M41" s="2">
        <f t="shared" si="10"/>
        <v>365.25</v>
      </c>
      <c r="N41" s="2">
        <f t="shared" si="10"/>
        <v>365.25</v>
      </c>
      <c r="O41" s="2">
        <f t="shared" si="10"/>
        <v>365.25</v>
      </c>
      <c r="P41" s="2">
        <f t="shared" si="10"/>
        <v>365.25</v>
      </c>
      <c r="Q41" s="2">
        <f t="shared" si="10"/>
        <v>365.25</v>
      </c>
      <c r="R41" s="2">
        <f t="shared" si="10"/>
        <v>365.25</v>
      </c>
      <c r="S41" t="s">
        <v>7</v>
      </c>
    </row>
    <row r="42" spans="1:19" ht="12" customHeight="1">
      <c r="A42" t="s">
        <v>14</v>
      </c>
      <c r="B42" s="84">
        <f>input!E10</f>
        <v>8000</v>
      </c>
      <c r="C42" s="2"/>
      <c r="D42" s="2"/>
      <c r="E42" s="2"/>
      <c r="F42" s="2"/>
      <c r="G42" s="2"/>
      <c r="H42" s="2"/>
      <c r="I42" s="2"/>
      <c r="J42" s="2"/>
      <c r="K42" s="2">
        <f>B42</f>
        <v>8000</v>
      </c>
      <c r="L42" s="2"/>
      <c r="M42" s="2"/>
      <c r="N42" s="2"/>
      <c r="O42" s="2"/>
      <c r="P42" s="2"/>
      <c r="Q42" s="2"/>
      <c r="R42" s="2"/>
      <c r="S42" t="s">
        <v>14</v>
      </c>
    </row>
    <row r="43" spans="1:19" ht="12" customHeight="1">
      <c r="A43" s="83" t="s">
        <v>130</v>
      </c>
      <c r="B43" s="85"/>
      <c r="C43" s="2"/>
      <c r="D43" s="2"/>
      <c r="E43" s="2"/>
      <c r="F43" s="2"/>
      <c r="G43" s="2"/>
      <c r="H43" s="2"/>
      <c r="I43" s="2"/>
      <c r="J43" s="2"/>
      <c r="K43" s="2"/>
      <c r="L43" s="2"/>
      <c r="M43" s="2"/>
      <c r="N43" s="2"/>
      <c r="O43" s="2"/>
      <c r="P43" s="2"/>
      <c r="Q43" s="2"/>
      <c r="R43" s="2"/>
      <c r="S43" s="83" t="s">
        <v>130</v>
      </c>
    </row>
    <row r="44" spans="1:19" ht="12" customHeight="1">
      <c r="A44" t="s">
        <v>62</v>
      </c>
      <c r="B44" s="54"/>
      <c r="C44" s="2"/>
      <c r="D44" s="65">
        <v>0</v>
      </c>
      <c r="E44" s="65">
        <v>0</v>
      </c>
      <c r="F44" s="65">
        <v>0</v>
      </c>
      <c r="G44" s="65">
        <v>0</v>
      </c>
      <c r="H44" s="65">
        <v>0</v>
      </c>
      <c r="I44" s="65">
        <v>0</v>
      </c>
      <c r="J44" s="65">
        <v>0</v>
      </c>
      <c r="K44" s="65">
        <v>0</v>
      </c>
      <c r="L44" s="65">
        <v>0</v>
      </c>
      <c r="M44" s="65">
        <v>0</v>
      </c>
      <c r="N44" s="65">
        <v>0</v>
      </c>
      <c r="O44" s="65">
        <v>0</v>
      </c>
      <c r="P44" s="65">
        <v>0</v>
      </c>
      <c r="Q44" s="65">
        <v>0</v>
      </c>
      <c r="R44" s="65">
        <v>0</v>
      </c>
      <c r="S44" t="s">
        <v>62</v>
      </c>
    </row>
    <row r="45" spans="1:19" ht="12" customHeight="1">
      <c r="A45" s="5" t="s">
        <v>24</v>
      </c>
      <c r="C45" s="2">
        <f aca="true" t="shared" si="11" ref="C45:R45">SUM(C39:C42)</f>
        <v>5000</v>
      </c>
      <c r="D45" s="2">
        <f t="shared" si="11"/>
        <v>-1390.9259449762758</v>
      </c>
      <c r="E45" s="2">
        <f t="shared" si="11"/>
        <v>7109.074055023724</v>
      </c>
      <c r="F45" s="2">
        <f t="shared" si="11"/>
        <v>7109.074055023724</v>
      </c>
      <c r="G45" s="2">
        <f t="shared" si="11"/>
        <v>7109.074055023724</v>
      </c>
      <c r="H45" s="2">
        <f t="shared" si="11"/>
        <v>7109.074055023724</v>
      </c>
      <c r="I45" s="2">
        <f t="shared" si="11"/>
        <v>365.25</v>
      </c>
      <c r="J45" s="2">
        <f t="shared" si="11"/>
        <v>365.25</v>
      </c>
      <c r="K45" s="2">
        <f t="shared" si="11"/>
        <v>8365.25</v>
      </c>
      <c r="L45" s="2">
        <f t="shared" si="11"/>
        <v>365.25</v>
      </c>
      <c r="M45" s="2">
        <f t="shared" si="11"/>
        <v>365.25</v>
      </c>
      <c r="N45" s="2">
        <f t="shared" si="11"/>
        <v>365.25</v>
      </c>
      <c r="O45" s="2">
        <f t="shared" si="11"/>
        <v>365.25</v>
      </c>
      <c r="P45" s="2">
        <f t="shared" si="11"/>
        <v>365.25</v>
      </c>
      <c r="Q45" s="2">
        <f t="shared" si="11"/>
        <v>365.25</v>
      </c>
      <c r="R45" s="2">
        <f t="shared" si="11"/>
        <v>365.25</v>
      </c>
      <c r="S45" s="5" t="s">
        <v>11</v>
      </c>
    </row>
    <row r="46" spans="1:19" ht="12" customHeight="1">
      <c r="A46" t="s">
        <v>25</v>
      </c>
      <c r="C46" s="26">
        <f>C45*(1+$D$11)^C13</f>
        <v>5000</v>
      </c>
      <c r="D46" s="26">
        <f aca="true" t="shared" si="12" ref="D46:R46">D45*(1+$D$11)^-D13</f>
        <v>-1312.1942877134675</v>
      </c>
      <c r="E46" s="26">
        <f t="shared" si="12"/>
        <v>6327.050600768711</v>
      </c>
      <c r="F46" s="26">
        <f t="shared" si="12"/>
        <v>5968.915661102556</v>
      </c>
      <c r="G46" s="26">
        <f t="shared" si="12"/>
        <v>5631.05251047411</v>
      </c>
      <c r="H46" s="26">
        <f t="shared" si="12"/>
        <v>5312.3136891265185</v>
      </c>
      <c r="I46" s="26">
        <f t="shared" si="12"/>
        <v>257.48683739559175</v>
      </c>
      <c r="J46" s="26">
        <f t="shared" si="12"/>
        <v>242.9121107505582</v>
      </c>
      <c r="K46" s="26">
        <f t="shared" si="12"/>
        <v>5248.461339367214</v>
      </c>
      <c r="L46" s="26">
        <f t="shared" si="12"/>
        <v>216.19091380434162</v>
      </c>
      <c r="M46" s="26">
        <f t="shared" si="12"/>
        <v>203.95369226824678</v>
      </c>
      <c r="N46" s="26">
        <f t="shared" si="12"/>
        <v>192.4091436492894</v>
      </c>
      <c r="O46" s="26">
        <f t="shared" si="12"/>
        <v>181.51806004649944</v>
      </c>
      <c r="P46" s="26">
        <f t="shared" si="12"/>
        <v>171.24345287405606</v>
      </c>
      <c r="Q46" s="26">
        <f t="shared" si="12"/>
        <v>161.55042723967554</v>
      </c>
      <c r="R46" s="26">
        <f t="shared" si="12"/>
        <v>152.40606343365613</v>
      </c>
      <c r="S46" t="s">
        <v>12</v>
      </c>
    </row>
    <row r="47" spans="1:19" ht="12" customHeight="1">
      <c r="A47" t="s">
        <v>49</v>
      </c>
      <c r="C47" s="21">
        <f>C46</f>
        <v>5000</v>
      </c>
      <c r="D47" s="21">
        <f aca="true" t="shared" si="13" ref="D47:R47">C47+D46</f>
        <v>3687.8057122865325</v>
      </c>
      <c r="E47" s="21">
        <f t="shared" si="13"/>
        <v>10014.856313055243</v>
      </c>
      <c r="F47" s="21">
        <f t="shared" si="13"/>
        <v>15983.7719741578</v>
      </c>
      <c r="G47" s="21">
        <f t="shared" si="13"/>
        <v>21614.82448463191</v>
      </c>
      <c r="H47" s="21">
        <f t="shared" si="13"/>
        <v>26927.13817375843</v>
      </c>
      <c r="I47" s="21">
        <f t="shared" si="13"/>
        <v>27184.62501115402</v>
      </c>
      <c r="J47" s="21">
        <f t="shared" si="13"/>
        <v>27427.53712190458</v>
      </c>
      <c r="K47" s="21">
        <f t="shared" si="13"/>
        <v>32675.998461271796</v>
      </c>
      <c r="L47" s="21">
        <f t="shared" si="13"/>
        <v>32892.18937507614</v>
      </c>
      <c r="M47" s="21">
        <f t="shared" si="13"/>
        <v>33096.14306734438</v>
      </c>
      <c r="N47" s="21">
        <f t="shared" si="13"/>
        <v>33288.55221099367</v>
      </c>
      <c r="O47" s="21">
        <f t="shared" si="13"/>
        <v>33470.070271040175</v>
      </c>
      <c r="P47" s="21">
        <f t="shared" si="13"/>
        <v>33641.31372391423</v>
      </c>
      <c r="Q47" s="21">
        <f t="shared" si="13"/>
        <v>33802.8641511539</v>
      </c>
      <c r="R47" s="21">
        <f t="shared" si="13"/>
        <v>33955.27021458756</v>
      </c>
      <c r="S47" t="s">
        <v>13</v>
      </c>
    </row>
    <row r="48" spans="1:18" ht="12" customHeight="1">
      <c r="A48" s="5" t="s">
        <v>63</v>
      </c>
      <c r="B48" s="49">
        <f>$D$7/$F$8</f>
        <v>3750</v>
      </c>
      <c r="D48" s="11"/>
      <c r="E48" s="11"/>
      <c r="F48" s="11"/>
      <c r="G48" s="11"/>
      <c r="H48" s="11"/>
      <c r="I48" s="11"/>
      <c r="J48" s="11"/>
      <c r="K48" s="11"/>
      <c r="L48" s="11"/>
      <c r="M48" s="11"/>
      <c r="N48" s="11"/>
      <c r="O48" s="11"/>
      <c r="P48" s="11"/>
      <c r="Q48" s="11"/>
      <c r="R48" s="11"/>
    </row>
    <row r="49" spans="1:18" ht="12" customHeight="1" thickBot="1">
      <c r="A49" s="5"/>
      <c r="B49" s="86"/>
      <c r="D49" s="11"/>
      <c r="E49" s="11"/>
      <c r="F49" s="11"/>
      <c r="G49" s="11"/>
      <c r="H49" s="11"/>
      <c r="I49" s="11"/>
      <c r="J49" s="11"/>
      <c r="K49" s="11"/>
      <c r="L49" s="11"/>
      <c r="M49" s="11"/>
      <c r="N49" s="11"/>
      <c r="O49" s="11"/>
      <c r="P49" s="11"/>
      <c r="Q49" s="11"/>
      <c r="R49" s="11"/>
    </row>
    <row r="50" spans="1:19" ht="16.5" customHeight="1" thickBot="1">
      <c r="A50" s="62" t="s">
        <v>58</v>
      </c>
      <c r="B50" s="1" t="s">
        <v>33</v>
      </c>
      <c r="C50" s="19">
        <f>input!F5</f>
        <v>43000</v>
      </c>
      <c r="D50" s="63"/>
      <c r="E50" s="63"/>
      <c r="F50" s="63"/>
      <c r="G50" s="63"/>
      <c r="H50" s="63"/>
      <c r="I50" s="63"/>
      <c r="J50" s="63"/>
      <c r="K50" s="63"/>
      <c r="L50" s="63"/>
      <c r="M50" s="63"/>
      <c r="N50" s="64"/>
      <c r="O50" s="64"/>
      <c r="P50" s="64"/>
      <c r="Q50" s="64"/>
      <c r="R50" s="64"/>
      <c r="S50" s="62" t="s">
        <v>58</v>
      </c>
    </row>
    <row r="51" spans="1:19" ht="15" customHeight="1" thickBot="1">
      <c r="A51" t="s">
        <v>45</v>
      </c>
      <c r="C51" s="19">
        <f>input!F6</f>
        <v>5000</v>
      </c>
      <c r="D51" s="2">
        <f>-PMT($Q$4/12,$Q$3,$Q$7)*12</f>
        <v>8605.28254166896</v>
      </c>
      <c r="E51" s="2">
        <f>-PMT($Q$4/12,$Q$3,$Q$7)*12</f>
        <v>8605.28254166896</v>
      </c>
      <c r="F51" s="2">
        <f>-PMT($Q$4/12,$Q$3,$Q$7)*12</f>
        <v>8605.28254166896</v>
      </c>
      <c r="G51" s="2">
        <f>-PMT($Q$4/12,$Q$3,$Q$7)*12</f>
        <v>8605.28254166896</v>
      </c>
      <c r="H51" s="2">
        <f>-PMT($Q$4/12,$Q$3,$Q$7)*12</f>
        <v>8605.28254166896</v>
      </c>
      <c r="I51" s="2"/>
      <c r="J51" s="2"/>
      <c r="K51" s="2"/>
      <c r="L51" s="2"/>
      <c r="M51" s="2"/>
      <c r="S51" t="s">
        <v>45</v>
      </c>
    </row>
    <row r="52" spans="1:19" ht="12.75" customHeight="1" thickBot="1">
      <c r="A52" t="s">
        <v>3</v>
      </c>
      <c r="B52" s="19">
        <f>input!F9</f>
        <v>8500</v>
      </c>
      <c r="C52" s="25"/>
      <c r="D52" s="2">
        <f>-B52</f>
        <v>-8500</v>
      </c>
      <c r="E52" s="2"/>
      <c r="F52" s="2"/>
      <c r="G52" s="2"/>
      <c r="H52" s="2"/>
      <c r="I52" s="2"/>
      <c r="J52" s="2"/>
      <c r="K52" s="2"/>
      <c r="L52" s="2"/>
      <c r="M52" s="2"/>
      <c r="S52" t="s">
        <v>3</v>
      </c>
    </row>
    <row r="53" spans="1:19" ht="12.75" customHeight="1">
      <c r="A53" t="s">
        <v>7</v>
      </c>
      <c r="B53" s="54"/>
      <c r="C53" s="25"/>
      <c r="D53" s="78">
        <f>$B$62*(($C$4+$C$5))</f>
        <v>875</v>
      </c>
      <c r="E53" s="78">
        <f aca="true" t="shared" si="14" ref="E53:R53">$B$62*(($C$4+$C$5))</f>
        <v>875</v>
      </c>
      <c r="F53" s="78">
        <f t="shared" si="14"/>
        <v>875</v>
      </c>
      <c r="G53" s="78">
        <f t="shared" si="14"/>
        <v>875</v>
      </c>
      <c r="H53" s="78">
        <f t="shared" si="14"/>
        <v>875</v>
      </c>
      <c r="I53" s="78">
        <f t="shared" si="14"/>
        <v>875</v>
      </c>
      <c r="J53" s="78">
        <f t="shared" si="14"/>
        <v>875</v>
      </c>
      <c r="K53" s="78">
        <f t="shared" si="14"/>
        <v>875</v>
      </c>
      <c r="L53" s="78">
        <f t="shared" si="14"/>
        <v>875</v>
      </c>
      <c r="M53" s="78">
        <f t="shared" si="14"/>
        <v>875</v>
      </c>
      <c r="N53" s="78">
        <f t="shared" si="14"/>
        <v>875</v>
      </c>
      <c r="O53" s="78">
        <f t="shared" si="14"/>
        <v>875</v>
      </c>
      <c r="P53" s="78">
        <f t="shared" si="14"/>
        <v>875</v>
      </c>
      <c r="Q53" s="78">
        <f t="shared" si="14"/>
        <v>875</v>
      </c>
      <c r="R53" s="78">
        <f t="shared" si="14"/>
        <v>875</v>
      </c>
      <c r="S53" t="s">
        <v>7</v>
      </c>
    </row>
    <row r="54" spans="1:19" ht="13.5" thickBot="1">
      <c r="A54" s="32" t="s">
        <v>51</v>
      </c>
      <c r="C54" s="2"/>
      <c r="D54" s="2">
        <f>($H$7/$H$8)*($E$4)</f>
        <v>194.8</v>
      </c>
      <c r="E54" s="2">
        <f aca="true" t="shared" si="15" ref="E54:R54">($H$7/$H$8)*($E$4)</f>
        <v>194.8</v>
      </c>
      <c r="F54" s="2">
        <f t="shared" si="15"/>
        <v>194.8</v>
      </c>
      <c r="G54" s="2">
        <f t="shared" si="15"/>
        <v>194.8</v>
      </c>
      <c r="H54" s="2">
        <f t="shared" si="15"/>
        <v>194.8</v>
      </c>
      <c r="I54" s="2">
        <f t="shared" si="15"/>
        <v>194.8</v>
      </c>
      <c r="J54" s="2">
        <f t="shared" si="15"/>
        <v>194.8</v>
      </c>
      <c r="K54" s="2">
        <f t="shared" si="15"/>
        <v>194.8</v>
      </c>
      <c r="L54" s="2">
        <f t="shared" si="15"/>
        <v>194.8</v>
      </c>
      <c r="M54" s="2">
        <f t="shared" si="15"/>
        <v>194.8</v>
      </c>
      <c r="N54" s="2">
        <f t="shared" si="15"/>
        <v>194.8</v>
      </c>
      <c r="O54" s="2">
        <f t="shared" si="15"/>
        <v>194.8</v>
      </c>
      <c r="P54" s="2">
        <f t="shared" si="15"/>
        <v>194.8</v>
      </c>
      <c r="Q54" s="2">
        <f t="shared" si="15"/>
        <v>194.8</v>
      </c>
      <c r="R54" s="2">
        <f t="shared" si="15"/>
        <v>194.8</v>
      </c>
      <c r="S54" s="32" t="s">
        <v>51</v>
      </c>
    </row>
    <row r="55" spans="1:19" ht="12.75">
      <c r="A55" t="s">
        <v>14</v>
      </c>
      <c r="B55" s="84">
        <f>input!F10</f>
        <v>8000</v>
      </c>
      <c r="C55" s="2"/>
      <c r="D55" s="2"/>
      <c r="E55" s="2"/>
      <c r="F55" s="2"/>
      <c r="G55" s="2"/>
      <c r="H55" s="2"/>
      <c r="I55" s="2"/>
      <c r="J55" s="2"/>
      <c r="K55" s="2">
        <f>B55</f>
        <v>8000</v>
      </c>
      <c r="L55" s="2"/>
      <c r="M55" s="2"/>
      <c r="N55" s="2"/>
      <c r="O55" s="2"/>
      <c r="P55" s="2"/>
      <c r="Q55" s="2"/>
      <c r="R55" s="2"/>
      <c r="S55" t="s">
        <v>14</v>
      </c>
    </row>
    <row r="56" spans="1:19" ht="12.75">
      <c r="A56" s="83" t="s">
        <v>129</v>
      </c>
      <c r="B56" s="85"/>
      <c r="C56" s="2"/>
      <c r="D56" s="2"/>
      <c r="E56" s="2"/>
      <c r="F56" s="2"/>
      <c r="G56" s="2"/>
      <c r="H56" s="2"/>
      <c r="I56" s="2"/>
      <c r="J56" s="2"/>
      <c r="K56" s="2"/>
      <c r="L56" s="2"/>
      <c r="M56" s="2"/>
      <c r="N56" s="2"/>
      <c r="O56" s="2"/>
      <c r="P56" s="2"/>
      <c r="Q56" s="2"/>
      <c r="R56" s="2"/>
      <c r="S56" s="83" t="s">
        <v>129</v>
      </c>
    </row>
    <row r="57" spans="1:19" ht="12.75">
      <c r="A57" s="83" t="s">
        <v>130</v>
      </c>
      <c r="B57" s="85"/>
      <c r="C57" s="2"/>
      <c r="D57" s="2"/>
      <c r="E57" s="2"/>
      <c r="F57" s="2"/>
      <c r="G57" s="2"/>
      <c r="H57" s="2"/>
      <c r="I57" s="2"/>
      <c r="J57" s="2"/>
      <c r="K57" s="2"/>
      <c r="L57" s="2"/>
      <c r="M57" s="2"/>
      <c r="N57" s="2"/>
      <c r="O57" s="2"/>
      <c r="P57" s="2"/>
      <c r="Q57" s="2"/>
      <c r="R57" s="2"/>
      <c r="S57" s="83" t="s">
        <v>130</v>
      </c>
    </row>
    <row r="58" spans="1:19" ht="12.75">
      <c r="A58" t="s">
        <v>62</v>
      </c>
      <c r="B58" s="87"/>
      <c r="C58" s="2"/>
      <c r="D58" s="42">
        <f>(($D$7-$H$7)/3000)*$J$4</f>
        <v>141.96</v>
      </c>
      <c r="E58" s="42">
        <f aca="true" t="shared" si="16" ref="E58:R58">(($D$7-$H$7)/3000)*$J$4</f>
        <v>141.96</v>
      </c>
      <c r="F58" s="42">
        <f t="shared" si="16"/>
        <v>141.96</v>
      </c>
      <c r="G58" s="42">
        <f t="shared" si="16"/>
        <v>141.96</v>
      </c>
      <c r="H58" s="42">
        <f t="shared" si="16"/>
        <v>141.96</v>
      </c>
      <c r="I58" s="42">
        <f t="shared" si="16"/>
        <v>141.96</v>
      </c>
      <c r="J58" s="42">
        <f t="shared" si="16"/>
        <v>141.96</v>
      </c>
      <c r="K58" s="42">
        <f t="shared" si="16"/>
        <v>141.96</v>
      </c>
      <c r="L58" s="42">
        <f t="shared" si="16"/>
        <v>141.96</v>
      </c>
      <c r="M58" s="42">
        <f t="shared" si="16"/>
        <v>141.96</v>
      </c>
      <c r="N58" s="42">
        <f t="shared" si="16"/>
        <v>141.96</v>
      </c>
      <c r="O58" s="42">
        <f t="shared" si="16"/>
        <v>141.96</v>
      </c>
      <c r="P58" s="42">
        <f t="shared" si="16"/>
        <v>141.96</v>
      </c>
      <c r="Q58" s="42">
        <f t="shared" si="16"/>
        <v>141.96</v>
      </c>
      <c r="R58" s="42">
        <f t="shared" si="16"/>
        <v>141.96</v>
      </c>
      <c r="S58" t="s">
        <v>62</v>
      </c>
    </row>
    <row r="59" spans="1:19" ht="12.75">
      <c r="A59" s="5" t="s">
        <v>24</v>
      </c>
      <c r="C59" s="2">
        <f>SUM(C51:C58)</f>
        <v>5000</v>
      </c>
      <c r="D59" s="2">
        <f>SUM(D51:D58)</f>
        <v>1317.0425416689593</v>
      </c>
      <c r="E59" s="2">
        <f aca="true" t="shared" si="17" ref="E59:R59">SUM(E51:E58)</f>
        <v>9817.042541668958</v>
      </c>
      <c r="F59" s="2">
        <f t="shared" si="17"/>
        <v>9817.042541668958</v>
      </c>
      <c r="G59" s="2">
        <f t="shared" si="17"/>
        <v>9817.042541668958</v>
      </c>
      <c r="H59" s="2">
        <f t="shared" si="17"/>
        <v>9817.042541668958</v>
      </c>
      <c r="I59" s="2">
        <f t="shared" si="17"/>
        <v>1211.76</v>
      </c>
      <c r="J59" s="2">
        <f t="shared" si="17"/>
        <v>1211.76</v>
      </c>
      <c r="K59" s="2">
        <f t="shared" si="17"/>
        <v>9211.759999999998</v>
      </c>
      <c r="L59" s="2">
        <f t="shared" si="17"/>
        <v>1211.76</v>
      </c>
      <c r="M59" s="2">
        <f t="shared" si="17"/>
        <v>1211.76</v>
      </c>
      <c r="N59" s="2">
        <f t="shared" si="17"/>
        <v>1211.76</v>
      </c>
      <c r="O59" s="2">
        <f t="shared" si="17"/>
        <v>1211.76</v>
      </c>
      <c r="P59" s="2">
        <f t="shared" si="17"/>
        <v>1211.76</v>
      </c>
      <c r="Q59" s="2">
        <f t="shared" si="17"/>
        <v>1211.76</v>
      </c>
      <c r="R59" s="2">
        <f t="shared" si="17"/>
        <v>1211.76</v>
      </c>
      <c r="S59" s="5" t="s">
        <v>24</v>
      </c>
    </row>
    <row r="60" spans="1:19" ht="12.75">
      <c r="A60" t="s">
        <v>25</v>
      </c>
      <c r="C60" s="26">
        <f>C59*(1+$D$11)^C13</f>
        <v>5000</v>
      </c>
      <c r="D60" s="26">
        <f aca="true" t="shared" si="18" ref="D60:R60">D59*(1+$D$11)^-D13</f>
        <v>1242.4929638386407</v>
      </c>
      <c r="E60" s="26">
        <f t="shared" si="18"/>
        <v>8737.132913553716</v>
      </c>
      <c r="F60" s="26">
        <f t="shared" si="18"/>
        <v>8242.578220333695</v>
      </c>
      <c r="G60" s="26">
        <f t="shared" si="18"/>
        <v>7776.017188994052</v>
      </c>
      <c r="H60" s="26">
        <f t="shared" si="18"/>
        <v>7335.865272635897</v>
      </c>
      <c r="I60" s="26">
        <f t="shared" si="18"/>
        <v>854.2429844831821</v>
      </c>
      <c r="J60" s="26">
        <f t="shared" si="18"/>
        <v>805.8896080030019</v>
      </c>
      <c r="K60" s="26">
        <f t="shared" si="18"/>
        <v>5779.572185831783</v>
      </c>
      <c r="L60" s="26">
        <f t="shared" si="18"/>
        <v>717.2388821671431</v>
      </c>
      <c r="M60" s="26">
        <f t="shared" si="18"/>
        <v>676.6404548746632</v>
      </c>
      <c r="N60" s="26">
        <f t="shared" si="18"/>
        <v>638.3400517685501</v>
      </c>
      <c r="O60" s="26">
        <f t="shared" si="18"/>
        <v>602.2075960080662</v>
      </c>
      <c r="P60" s="26">
        <f t="shared" si="18"/>
        <v>568.1203735925152</v>
      </c>
      <c r="Q60" s="26">
        <f t="shared" si="18"/>
        <v>535.9626165967125</v>
      </c>
      <c r="R60" s="26">
        <f t="shared" si="18"/>
        <v>505.6251099968984</v>
      </c>
      <c r="S60" t="s">
        <v>25</v>
      </c>
    </row>
    <row r="61" spans="1:19" ht="12.75">
      <c r="A61" t="s">
        <v>49</v>
      </c>
      <c r="C61" s="21">
        <f>C60</f>
        <v>5000</v>
      </c>
      <c r="D61" s="21">
        <f aca="true" t="shared" si="19" ref="D61:R61">C61+D60</f>
        <v>6242.49296383864</v>
      </c>
      <c r="E61" s="21">
        <f t="shared" si="19"/>
        <v>14979.625877392356</v>
      </c>
      <c r="F61" s="21">
        <f t="shared" si="19"/>
        <v>23222.20409772605</v>
      </c>
      <c r="G61" s="21">
        <f t="shared" si="19"/>
        <v>30998.2212867201</v>
      </c>
      <c r="H61" s="21">
        <f t="shared" si="19"/>
        <v>38334.086559356</v>
      </c>
      <c r="I61" s="21">
        <f t="shared" si="19"/>
        <v>39188.32954383918</v>
      </c>
      <c r="J61" s="21">
        <f t="shared" si="19"/>
        <v>39994.21915184218</v>
      </c>
      <c r="K61" s="21">
        <f t="shared" si="19"/>
        <v>45773.79133767397</v>
      </c>
      <c r="L61" s="21">
        <f t="shared" si="19"/>
        <v>46491.03021984111</v>
      </c>
      <c r="M61" s="21">
        <f t="shared" si="19"/>
        <v>47167.67067471577</v>
      </c>
      <c r="N61" s="21">
        <f t="shared" si="19"/>
        <v>47806.010726484325</v>
      </c>
      <c r="O61" s="21">
        <f t="shared" si="19"/>
        <v>48408.218322492394</v>
      </c>
      <c r="P61" s="21">
        <f t="shared" si="19"/>
        <v>48976.33869608491</v>
      </c>
      <c r="Q61" s="21">
        <f t="shared" si="19"/>
        <v>49512.30131268162</v>
      </c>
      <c r="R61" s="21">
        <f t="shared" si="19"/>
        <v>50017.92642267852</v>
      </c>
      <c r="S61" t="s">
        <v>49</v>
      </c>
    </row>
    <row r="62" spans="1:19" ht="12.75">
      <c r="A62" s="5" t="s">
        <v>29</v>
      </c>
      <c r="B62" s="66">
        <f>($D$7-$H$7)/D10</f>
        <v>205.88235294117646</v>
      </c>
      <c r="S62" s="5" t="s">
        <v>29</v>
      </c>
    </row>
    <row r="63" spans="1:19" ht="12.75">
      <c r="A63" s="5" t="s">
        <v>63</v>
      </c>
      <c r="B63" s="43">
        <f>input!F14/input!F12</f>
        <v>2000</v>
      </c>
      <c r="S63" s="5" t="s">
        <v>63</v>
      </c>
    </row>
    <row r="68" spans="1:18" ht="12.75">
      <c r="A68" t="s">
        <v>15</v>
      </c>
      <c r="C68" s="8">
        <f>$C$6</f>
        <v>0</v>
      </c>
      <c r="D68" s="9">
        <f>$C$4</f>
        <v>4</v>
      </c>
      <c r="E68" s="27">
        <f aca="true" t="shared" si="20" ref="E68:R68">$C$4*(1+$C$6)^D13</f>
        <v>4</v>
      </c>
      <c r="F68" s="27">
        <f t="shared" si="20"/>
        <v>4</v>
      </c>
      <c r="G68" s="27">
        <f t="shared" si="20"/>
        <v>4</v>
      </c>
      <c r="H68" s="27">
        <f t="shared" si="20"/>
        <v>4</v>
      </c>
      <c r="I68" s="27">
        <f t="shared" si="20"/>
        <v>4</v>
      </c>
      <c r="J68" s="27">
        <f t="shared" si="20"/>
        <v>4</v>
      </c>
      <c r="K68" s="27">
        <f t="shared" si="20"/>
        <v>4</v>
      </c>
      <c r="L68" s="27">
        <f t="shared" si="20"/>
        <v>4</v>
      </c>
      <c r="M68" s="27">
        <f t="shared" si="20"/>
        <v>4</v>
      </c>
      <c r="N68" s="27">
        <f t="shared" si="20"/>
        <v>4</v>
      </c>
      <c r="O68" s="27">
        <f t="shared" si="20"/>
        <v>4</v>
      </c>
      <c r="P68" s="27">
        <f t="shared" si="20"/>
        <v>4</v>
      </c>
      <c r="Q68" s="27">
        <f t="shared" si="20"/>
        <v>4</v>
      </c>
      <c r="R68" s="27">
        <f t="shared" si="20"/>
        <v>4</v>
      </c>
    </row>
    <row r="69" spans="1:18" ht="12.75">
      <c r="A69" s="50" t="s">
        <v>108</v>
      </c>
      <c r="C69" s="40">
        <f>$E$6</f>
        <v>0</v>
      </c>
      <c r="D69" s="47">
        <f>$E$4</f>
        <v>0.0974</v>
      </c>
      <c r="E69" s="48">
        <f aca="true" t="shared" si="21" ref="E69:R69">$E$4*(1+$E$6)^D13</f>
        <v>0.0974</v>
      </c>
      <c r="F69" s="48">
        <f t="shared" si="21"/>
        <v>0.0974</v>
      </c>
      <c r="G69" s="48">
        <f t="shared" si="21"/>
        <v>0.0974</v>
      </c>
      <c r="H69" s="48">
        <f t="shared" si="21"/>
        <v>0.0974</v>
      </c>
      <c r="I69" s="48">
        <f t="shared" si="21"/>
        <v>0.0974</v>
      </c>
      <c r="J69" s="48">
        <f t="shared" si="21"/>
        <v>0.0974</v>
      </c>
      <c r="K69" s="48">
        <f t="shared" si="21"/>
        <v>0.0974</v>
      </c>
      <c r="L69" s="48">
        <f t="shared" si="21"/>
        <v>0.0974</v>
      </c>
      <c r="M69" s="48">
        <f t="shared" si="21"/>
        <v>0.0974</v>
      </c>
      <c r="N69" s="48">
        <f t="shared" si="21"/>
        <v>0.0974</v>
      </c>
      <c r="O69" s="48">
        <f t="shared" si="21"/>
        <v>0.0974</v>
      </c>
      <c r="P69" s="48">
        <f t="shared" si="21"/>
        <v>0.0974</v>
      </c>
      <c r="Q69" s="48">
        <f t="shared" si="21"/>
        <v>0.0974</v>
      </c>
      <c r="R69" s="48">
        <f t="shared" si="21"/>
        <v>0.0974</v>
      </c>
    </row>
    <row r="70" spans="1:18" ht="12.75">
      <c r="A70" s="50" t="s">
        <v>110</v>
      </c>
      <c r="C70" s="69">
        <f>J6</f>
        <v>0</v>
      </c>
      <c r="D70" s="68">
        <f>$J$4</f>
        <v>60.84</v>
      </c>
      <c r="E70" s="48">
        <f>$J$4*(1+$J$6)^D13</f>
        <v>60.84</v>
      </c>
      <c r="F70" s="48">
        <f aca="true" t="shared" si="22" ref="F70:R70">$J$4*(1+$J$6)^E13</f>
        <v>60.84</v>
      </c>
      <c r="G70" s="48">
        <f t="shared" si="22"/>
        <v>60.84</v>
      </c>
      <c r="H70" s="48">
        <f t="shared" si="22"/>
        <v>60.84</v>
      </c>
      <c r="I70" s="48">
        <f t="shared" si="22"/>
        <v>60.84</v>
      </c>
      <c r="J70" s="48">
        <f t="shared" si="22"/>
        <v>60.84</v>
      </c>
      <c r="K70" s="48">
        <f t="shared" si="22"/>
        <v>60.84</v>
      </c>
      <c r="L70" s="48">
        <f t="shared" si="22"/>
        <v>60.84</v>
      </c>
      <c r="M70" s="48">
        <f t="shared" si="22"/>
        <v>60.84</v>
      </c>
      <c r="N70" s="48">
        <f t="shared" si="22"/>
        <v>60.84</v>
      </c>
      <c r="O70" s="48">
        <f t="shared" si="22"/>
        <v>60.84</v>
      </c>
      <c r="P70" s="48">
        <f t="shared" si="22"/>
        <v>60.84</v>
      </c>
      <c r="Q70" s="48">
        <f t="shared" si="22"/>
        <v>60.84</v>
      </c>
      <c r="R70" s="48">
        <f t="shared" si="22"/>
        <v>60.84</v>
      </c>
    </row>
    <row r="71" ht="13.5" thickBot="1"/>
    <row r="72" spans="1:3" ht="13.5" thickBot="1">
      <c r="A72" t="s">
        <v>124</v>
      </c>
      <c r="B72" s="80">
        <f>input!B22</f>
        <v>22.89</v>
      </c>
      <c r="C72" t="s">
        <v>126</v>
      </c>
    </row>
    <row r="73" spans="1:3" ht="13.5" thickBot="1">
      <c r="A73" t="s">
        <v>125</v>
      </c>
      <c r="B73" s="81">
        <f>input!B21</f>
        <v>1781.44</v>
      </c>
      <c r="C73" t="s">
        <v>127</v>
      </c>
    </row>
    <row r="74" spans="1:2" ht="13.5" thickBot="1">
      <c r="A74" t="s">
        <v>128</v>
      </c>
      <c r="B74" s="82"/>
    </row>
    <row r="77" ht="12.75">
      <c r="A77" s="4" t="s">
        <v>27</v>
      </c>
    </row>
    <row r="78" spans="1:19" ht="12.75">
      <c r="A78" s="37" t="s">
        <v>28</v>
      </c>
      <c r="B78" s="38"/>
      <c r="C78" s="38"/>
      <c r="D78" s="38"/>
      <c r="E78" s="38"/>
      <c r="F78" s="38"/>
      <c r="G78" s="38"/>
      <c r="H78" s="38"/>
      <c r="I78" s="38"/>
      <c r="J78" s="38"/>
      <c r="K78" s="38"/>
      <c r="L78" s="38"/>
      <c r="M78" s="38"/>
      <c r="N78" s="38"/>
      <c r="O78" s="38"/>
      <c r="P78" s="38"/>
      <c r="Q78" s="38"/>
      <c r="R78" s="38"/>
      <c r="S78" s="38"/>
    </row>
    <row r="79" spans="1:19" ht="12.75">
      <c r="A79" s="38" t="s">
        <v>42</v>
      </c>
      <c r="B79" s="38"/>
      <c r="C79" s="38"/>
      <c r="D79" s="38"/>
      <c r="E79" s="38"/>
      <c r="F79" s="38"/>
      <c r="G79" s="38"/>
      <c r="H79" s="38"/>
      <c r="I79" s="38"/>
      <c r="J79" s="38"/>
      <c r="K79" s="38"/>
      <c r="L79" s="38"/>
      <c r="M79" s="38"/>
      <c r="N79" s="38"/>
      <c r="O79" s="38"/>
      <c r="P79" s="38"/>
      <c r="Q79" s="38"/>
      <c r="R79" s="38"/>
      <c r="S79" s="38"/>
    </row>
    <row r="80" spans="1:19" ht="12.75">
      <c r="A80" s="38" t="s">
        <v>16</v>
      </c>
      <c r="B80" s="38"/>
      <c r="C80" s="38"/>
      <c r="D80" s="38"/>
      <c r="E80" s="38"/>
      <c r="F80" s="38"/>
      <c r="G80" s="38"/>
      <c r="H80" s="38"/>
      <c r="I80" s="38"/>
      <c r="J80" s="38"/>
      <c r="K80" s="38"/>
      <c r="L80" s="38"/>
      <c r="M80" s="38"/>
      <c r="N80" s="38"/>
      <c r="O80" s="38"/>
      <c r="P80" s="38"/>
      <c r="Q80" s="38"/>
      <c r="R80" s="38"/>
      <c r="S80" s="38"/>
    </row>
    <row r="81" spans="1:19" ht="12.75">
      <c r="A81" s="38" t="s">
        <v>32</v>
      </c>
      <c r="B81" s="38"/>
      <c r="C81" s="38"/>
      <c r="D81" s="38"/>
      <c r="E81" s="38"/>
      <c r="F81" s="38"/>
      <c r="G81" s="38"/>
      <c r="H81" s="38"/>
      <c r="I81" s="38"/>
      <c r="J81" s="38"/>
      <c r="K81" s="38"/>
      <c r="L81" s="38"/>
      <c r="M81" s="38"/>
      <c r="N81" s="38"/>
      <c r="O81" s="38"/>
      <c r="P81" s="38"/>
      <c r="Q81" s="38"/>
      <c r="R81" s="38"/>
      <c r="S81" s="38"/>
    </row>
    <row r="82" spans="1:19" ht="12.75">
      <c r="A82" s="37" t="s">
        <v>47</v>
      </c>
      <c r="B82" s="38"/>
      <c r="C82" s="38"/>
      <c r="D82" s="38"/>
      <c r="E82" s="38"/>
      <c r="F82" s="38"/>
      <c r="G82" s="38"/>
      <c r="H82" s="38"/>
      <c r="I82" s="38"/>
      <c r="J82" s="38"/>
      <c r="K82" s="38"/>
      <c r="L82" s="38"/>
      <c r="M82" s="38"/>
      <c r="N82" s="38"/>
      <c r="O82" s="38"/>
      <c r="P82" s="38"/>
      <c r="Q82" s="38"/>
      <c r="R82" s="38"/>
      <c r="S82" s="38"/>
    </row>
    <row r="83" spans="1:19" ht="12.75">
      <c r="A83" s="37" t="s">
        <v>40</v>
      </c>
      <c r="B83" s="37"/>
      <c r="C83" s="37"/>
      <c r="D83" s="37"/>
      <c r="E83" s="37"/>
      <c r="F83" s="37"/>
      <c r="G83" s="37"/>
      <c r="H83" s="37"/>
      <c r="I83" s="37"/>
      <c r="J83" s="37"/>
      <c r="K83" s="37"/>
      <c r="L83" s="37"/>
      <c r="M83" s="37"/>
      <c r="N83" s="37"/>
      <c r="O83" s="37"/>
      <c r="P83" s="37"/>
      <c r="Q83" s="37"/>
      <c r="R83" s="38"/>
      <c r="S83" s="38"/>
    </row>
    <row r="84" spans="1:19" ht="12.75">
      <c r="A84" s="37" t="s">
        <v>26</v>
      </c>
      <c r="B84" s="37"/>
      <c r="C84" s="37"/>
      <c r="D84" s="37"/>
      <c r="E84" s="37"/>
      <c r="F84" s="37"/>
      <c r="G84" s="37"/>
      <c r="H84" s="37"/>
      <c r="I84" s="37"/>
      <c r="J84" s="37"/>
      <c r="K84" s="37"/>
      <c r="L84" s="37"/>
      <c r="M84" s="37"/>
      <c r="N84" s="37"/>
      <c r="O84" s="37"/>
      <c r="P84" s="37"/>
      <c r="Q84" s="37"/>
      <c r="R84" s="38"/>
      <c r="S84" s="38"/>
    </row>
    <row r="85" spans="1:19" ht="12.75">
      <c r="A85" s="37" t="s">
        <v>48</v>
      </c>
      <c r="B85" s="37"/>
      <c r="C85" s="37"/>
      <c r="D85" s="37"/>
      <c r="E85" s="37"/>
      <c r="F85" s="37"/>
      <c r="G85" s="37"/>
      <c r="H85" s="37"/>
      <c r="I85" s="37"/>
      <c r="J85" s="37"/>
      <c r="K85" s="37"/>
      <c r="L85" s="37"/>
      <c r="M85" s="37"/>
      <c r="N85" s="37"/>
      <c r="O85" s="37"/>
      <c r="P85" s="37"/>
      <c r="Q85" s="37"/>
      <c r="R85" s="38"/>
      <c r="S85" s="38"/>
    </row>
    <row r="86" spans="1:19" ht="12.75">
      <c r="A86" s="37" t="s">
        <v>41</v>
      </c>
      <c r="B86" s="37"/>
      <c r="C86" s="37"/>
      <c r="D86" s="37"/>
      <c r="E86" s="37"/>
      <c r="F86" s="37" t="s">
        <v>43</v>
      </c>
      <c r="G86" s="37"/>
      <c r="H86" s="37"/>
      <c r="I86" s="37"/>
      <c r="J86" s="37"/>
      <c r="K86" s="37"/>
      <c r="L86" s="37"/>
      <c r="M86" s="37"/>
      <c r="N86" s="37"/>
      <c r="O86" s="37"/>
      <c r="P86" s="37"/>
      <c r="Q86" s="37"/>
      <c r="R86" s="38"/>
      <c r="S86" s="38"/>
    </row>
    <row r="87" spans="1:19" ht="12.75">
      <c r="A87" s="37" t="s">
        <v>46</v>
      </c>
      <c r="B87" s="37"/>
      <c r="C87" s="37"/>
      <c r="D87" s="37"/>
      <c r="E87" s="37"/>
      <c r="F87" s="37"/>
      <c r="G87" s="37"/>
      <c r="H87" s="37"/>
      <c r="I87" s="37"/>
      <c r="J87" s="37"/>
      <c r="K87" s="37"/>
      <c r="L87" s="37"/>
      <c r="M87" s="37"/>
      <c r="N87" s="37"/>
      <c r="O87" s="37"/>
      <c r="P87" s="37"/>
      <c r="Q87" s="37"/>
      <c r="R87" s="38"/>
      <c r="S87" s="38"/>
    </row>
  </sheetData>
  <sheetProtection/>
  <mergeCells count="2">
    <mergeCell ref="L3:M3"/>
    <mergeCell ref="L4:M4"/>
  </mergeCell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J72"/>
  <sheetViews>
    <sheetView zoomScalePageLayoutView="0" workbookViewId="0" topLeftCell="A1">
      <selection activeCell="H6" sqref="H6"/>
    </sheetView>
  </sheetViews>
  <sheetFormatPr defaultColWidth="9.140625" defaultRowHeight="12.75"/>
  <cols>
    <col min="1" max="1" width="17.28125" style="226" customWidth="1"/>
    <col min="2" max="2" width="10.140625" style="226" customWidth="1"/>
    <col min="3" max="3" width="10.28125" style="226" customWidth="1"/>
    <col min="4" max="4" width="11.00390625" style="226" customWidth="1"/>
    <col min="5" max="5" width="11.7109375" style="226" customWidth="1"/>
    <col min="6" max="16384" width="9.140625" style="226" customWidth="1"/>
  </cols>
  <sheetData>
    <row r="1" ht="18.75">
      <c r="A1" s="232" t="s">
        <v>200</v>
      </c>
    </row>
    <row r="2" spans="1:10" ht="12" customHeight="1">
      <c r="A2" s="233" t="s">
        <v>204</v>
      </c>
      <c r="J2" s="234" t="s">
        <v>201</v>
      </c>
    </row>
    <row r="3" ht="12.75">
      <c r="J3" s="234" t="s">
        <v>202</v>
      </c>
    </row>
    <row r="4" spans="4:10" ht="12.75">
      <c r="D4" s="235"/>
      <c r="J4" s="234" t="s">
        <v>203</v>
      </c>
    </row>
    <row r="5" spans="1:5" ht="15" customHeight="1">
      <c r="A5" s="260" t="s">
        <v>132</v>
      </c>
      <c r="B5" s="260"/>
      <c r="C5" s="260"/>
      <c r="D5" s="260"/>
      <c r="E5" s="260"/>
    </row>
    <row r="6" spans="1:10" ht="42" customHeight="1">
      <c r="A6" s="236" t="s">
        <v>133</v>
      </c>
      <c r="B6" s="236" t="s">
        <v>134</v>
      </c>
      <c r="C6" s="236" t="s">
        <v>135</v>
      </c>
      <c r="D6" s="236" t="s">
        <v>136</v>
      </c>
      <c r="E6" s="236" t="s">
        <v>137</v>
      </c>
      <c r="J6" s="237"/>
    </row>
    <row r="7" spans="1:5" ht="12.75">
      <c r="A7" s="238" t="s">
        <v>138</v>
      </c>
      <c r="B7" s="239">
        <v>6125483</v>
      </c>
      <c r="C7" s="240">
        <v>630</v>
      </c>
      <c r="D7" s="240">
        <v>17.7</v>
      </c>
      <c r="E7" s="241">
        <v>111.48</v>
      </c>
    </row>
    <row r="8" spans="1:5" ht="12.75">
      <c r="A8" s="242" t="s">
        <v>139</v>
      </c>
      <c r="B8" s="243">
        <v>1452080</v>
      </c>
      <c r="C8" s="244">
        <v>731</v>
      </c>
      <c r="D8" s="244">
        <v>19.55</v>
      </c>
      <c r="E8" s="245">
        <v>142.79</v>
      </c>
    </row>
    <row r="9" spans="1:5" ht="12.75">
      <c r="A9" s="242" t="s">
        <v>140</v>
      </c>
      <c r="B9" s="243">
        <v>695368</v>
      </c>
      <c r="C9" s="244">
        <v>521</v>
      </c>
      <c r="D9" s="244">
        <v>16.2</v>
      </c>
      <c r="E9" s="245">
        <v>84.47</v>
      </c>
    </row>
    <row r="10" spans="1:5" ht="12.75">
      <c r="A10" s="242" t="s">
        <v>141</v>
      </c>
      <c r="B10" s="243">
        <v>2647529</v>
      </c>
      <c r="C10" s="244">
        <v>618</v>
      </c>
      <c r="D10" s="244">
        <v>17.68</v>
      </c>
      <c r="E10" s="245">
        <v>109.3</v>
      </c>
    </row>
    <row r="11" spans="1:5" ht="12.75">
      <c r="A11" s="242" t="s">
        <v>142</v>
      </c>
      <c r="B11" s="243">
        <v>594180</v>
      </c>
      <c r="C11" s="244">
        <v>616</v>
      </c>
      <c r="D11" s="244">
        <v>15.68</v>
      </c>
      <c r="E11" s="245">
        <v>96.66</v>
      </c>
    </row>
    <row r="12" spans="1:5" ht="12.75">
      <c r="A12" s="242" t="s">
        <v>143</v>
      </c>
      <c r="B12" s="243">
        <v>430152</v>
      </c>
      <c r="C12" s="244">
        <v>589</v>
      </c>
      <c r="D12" s="244">
        <v>17.45</v>
      </c>
      <c r="E12" s="245">
        <v>102.85</v>
      </c>
    </row>
    <row r="13" spans="1:5" ht="12.75">
      <c r="A13" s="242" t="s">
        <v>144</v>
      </c>
      <c r="B13" s="243">
        <v>306174</v>
      </c>
      <c r="C13" s="244">
        <v>581</v>
      </c>
      <c r="D13" s="244">
        <v>14.48</v>
      </c>
      <c r="E13" s="245">
        <v>84.06</v>
      </c>
    </row>
    <row r="14" spans="1:5" ht="12.75">
      <c r="A14" s="238" t="s">
        <v>145</v>
      </c>
      <c r="B14" s="239">
        <v>15538589</v>
      </c>
      <c r="C14" s="240">
        <v>709</v>
      </c>
      <c r="D14" s="240">
        <v>14.88</v>
      </c>
      <c r="E14" s="241">
        <v>105.49</v>
      </c>
    </row>
    <row r="15" spans="1:5" ht="12.75">
      <c r="A15" s="242" t="s">
        <v>146</v>
      </c>
      <c r="B15" s="243">
        <v>3409806</v>
      </c>
      <c r="C15" s="244">
        <v>711</v>
      </c>
      <c r="D15" s="244">
        <v>15.66</v>
      </c>
      <c r="E15" s="245">
        <v>111.44</v>
      </c>
    </row>
    <row r="16" spans="1:5" ht="12.75">
      <c r="A16" s="242" t="s">
        <v>147</v>
      </c>
      <c r="B16" s="243">
        <v>6897087</v>
      </c>
      <c r="C16" s="244">
        <v>592</v>
      </c>
      <c r="D16" s="244">
        <v>18.3</v>
      </c>
      <c r="E16" s="245">
        <v>108.41</v>
      </c>
    </row>
    <row r="17" spans="1:5" ht="12.75">
      <c r="A17" s="242" t="s">
        <v>148</v>
      </c>
      <c r="B17" s="243">
        <v>5231696</v>
      </c>
      <c r="C17" s="244">
        <v>861</v>
      </c>
      <c r="D17" s="244">
        <v>11.35</v>
      </c>
      <c r="E17" s="245">
        <v>97.75</v>
      </c>
    </row>
    <row r="18" spans="1:5" ht="12.75">
      <c r="A18" s="238" t="s">
        <v>149</v>
      </c>
      <c r="B18" s="239">
        <v>19593687</v>
      </c>
      <c r="C18" s="240">
        <v>810</v>
      </c>
      <c r="D18" s="240">
        <v>10.39</v>
      </c>
      <c r="E18" s="241">
        <v>84.12</v>
      </c>
    </row>
    <row r="19" spans="1:5" ht="12.75">
      <c r="A19" s="242" t="s">
        <v>150</v>
      </c>
      <c r="B19" s="243">
        <v>5098579</v>
      </c>
      <c r="C19" s="244">
        <v>765</v>
      </c>
      <c r="D19" s="244">
        <v>11.07</v>
      </c>
      <c r="E19" s="245">
        <v>84.62</v>
      </c>
    </row>
    <row r="20" spans="1:5" ht="12.75">
      <c r="A20" s="242" t="s">
        <v>151</v>
      </c>
      <c r="B20" s="243">
        <v>2733128</v>
      </c>
      <c r="C20" s="246">
        <v>1036</v>
      </c>
      <c r="D20" s="244">
        <v>8.87</v>
      </c>
      <c r="E20" s="245">
        <v>91.94</v>
      </c>
    </row>
    <row r="21" spans="1:5" ht="12.75">
      <c r="A21" s="242" t="s">
        <v>152</v>
      </c>
      <c r="B21" s="243">
        <v>4290313</v>
      </c>
      <c r="C21" s="244">
        <v>666</v>
      </c>
      <c r="D21" s="244">
        <v>10.75</v>
      </c>
      <c r="E21" s="245">
        <v>71.58</v>
      </c>
    </row>
    <row r="22" spans="1:5" ht="12.75">
      <c r="A22" s="242" t="s">
        <v>153</v>
      </c>
      <c r="B22" s="243">
        <v>4891891</v>
      </c>
      <c r="C22" s="244">
        <v>910</v>
      </c>
      <c r="D22" s="244">
        <v>10.06</v>
      </c>
      <c r="E22" s="245">
        <v>91.5</v>
      </c>
    </row>
    <row r="23" spans="1:5" ht="12.75">
      <c r="A23" s="242" t="s">
        <v>154</v>
      </c>
      <c r="B23" s="243">
        <v>2579776</v>
      </c>
      <c r="C23" s="244">
        <v>710</v>
      </c>
      <c r="D23" s="244">
        <v>11.51</v>
      </c>
      <c r="E23" s="245">
        <v>81.71</v>
      </c>
    </row>
    <row r="24" spans="1:5" ht="12.75">
      <c r="A24" s="238" t="s">
        <v>155</v>
      </c>
      <c r="B24" s="239">
        <v>8972432</v>
      </c>
      <c r="C24" s="240">
        <v>962</v>
      </c>
      <c r="D24" s="240">
        <v>8.67</v>
      </c>
      <c r="E24" s="241">
        <v>83.45</v>
      </c>
    </row>
    <row r="25" spans="1:5" ht="12.75">
      <c r="A25" s="242" t="s">
        <v>156</v>
      </c>
      <c r="B25" s="243">
        <v>1325990</v>
      </c>
      <c r="C25" s="244">
        <v>884</v>
      </c>
      <c r="D25" s="244">
        <v>9.49</v>
      </c>
      <c r="E25" s="245">
        <v>83.94</v>
      </c>
    </row>
    <row r="26" spans="1:5" ht="12.75">
      <c r="A26" s="242" t="s">
        <v>157</v>
      </c>
      <c r="B26" s="243">
        <v>1203021</v>
      </c>
      <c r="C26" s="244">
        <v>928</v>
      </c>
      <c r="D26" s="244">
        <v>8.88</v>
      </c>
      <c r="E26" s="245">
        <v>82.41</v>
      </c>
    </row>
    <row r="27" spans="1:5" ht="12.75">
      <c r="A27" s="242" t="s">
        <v>158</v>
      </c>
      <c r="B27" s="243">
        <v>2279850</v>
      </c>
      <c r="C27" s="244">
        <v>817</v>
      </c>
      <c r="D27" s="244">
        <v>9.74</v>
      </c>
      <c r="E27" s="245">
        <v>79.55</v>
      </c>
    </row>
    <row r="28" spans="1:5" ht="12.75">
      <c r="A28" s="242" t="s">
        <v>159</v>
      </c>
      <c r="B28" s="243">
        <v>2686746</v>
      </c>
      <c r="C28" s="246">
        <v>1098</v>
      </c>
      <c r="D28" s="244">
        <v>8</v>
      </c>
      <c r="E28" s="245">
        <v>87.83</v>
      </c>
    </row>
    <row r="29" spans="1:5" ht="12.75">
      <c r="A29" s="242" t="s">
        <v>160</v>
      </c>
      <c r="B29" s="243">
        <v>794548</v>
      </c>
      <c r="C29" s="246">
        <v>1023</v>
      </c>
      <c r="D29" s="244">
        <v>7.87</v>
      </c>
      <c r="E29" s="245">
        <v>80.46</v>
      </c>
    </row>
    <row r="30" spans="1:5" ht="12.75">
      <c r="A30" s="242" t="s">
        <v>161</v>
      </c>
      <c r="B30" s="243">
        <v>318760</v>
      </c>
      <c r="C30" s="246">
        <v>1113</v>
      </c>
      <c r="D30" s="244">
        <v>7.51</v>
      </c>
      <c r="E30" s="245">
        <v>83.68</v>
      </c>
    </row>
    <row r="31" spans="1:5" ht="12.75">
      <c r="A31" s="242" t="s">
        <v>162</v>
      </c>
      <c r="B31" s="243">
        <v>363517</v>
      </c>
      <c r="C31" s="246">
        <v>1010</v>
      </c>
      <c r="D31" s="244">
        <v>8.27</v>
      </c>
      <c r="E31" s="245">
        <v>83.56</v>
      </c>
    </row>
    <row r="32" spans="1:5" ht="12.75">
      <c r="A32" s="238" t="s">
        <v>163</v>
      </c>
      <c r="B32" s="239">
        <v>25546877</v>
      </c>
      <c r="C32" s="247">
        <v>1125</v>
      </c>
      <c r="D32" s="240">
        <v>10.66</v>
      </c>
      <c r="E32" s="241">
        <v>119.96</v>
      </c>
    </row>
    <row r="33" spans="1:5" ht="12.75">
      <c r="A33" s="242" t="s">
        <v>164</v>
      </c>
      <c r="B33" s="243">
        <v>391810</v>
      </c>
      <c r="C33" s="244">
        <v>942</v>
      </c>
      <c r="D33" s="244">
        <v>13.93</v>
      </c>
      <c r="E33" s="245">
        <v>131.23</v>
      </c>
    </row>
    <row r="34" spans="1:5" ht="12.75">
      <c r="A34" s="242" t="s">
        <v>165</v>
      </c>
      <c r="B34" s="243">
        <v>215355</v>
      </c>
      <c r="C34" s="244">
        <v>734</v>
      </c>
      <c r="D34" s="244">
        <v>12.79</v>
      </c>
      <c r="E34" s="245">
        <v>93.83</v>
      </c>
    </row>
    <row r="35" spans="1:5" ht="12.75">
      <c r="A35" s="242" t="s">
        <v>166</v>
      </c>
      <c r="B35" s="243">
        <v>8478405</v>
      </c>
      <c r="C35" s="246">
        <v>1120</v>
      </c>
      <c r="D35" s="244">
        <v>11.65</v>
      </c>
      <c r="E35" s="245">
        <v>130.52</v>
      </c>
    </row>
    <row r="36" spans="1:5" ht="12.75">
      <c r="A36" s="242" t="s">
        <v>167</v>
      </c>
      <c r="B36" s="243">
        <v>4034752</v>
      </c>
      <c r="C36" s="246">
        <v>1148</v>
      </c>
      <c r="D36" s="244">
        <v>9.93</v>
      </c>
      <c r="E36" s="245">
        <v>113.96</v>
      </c>
    </row>
    <row r="37" spans="1:5" ht="12.75">
      <c r="A37" s="242" t="s">
        <v>168</v>
      </c>
      <c r="B37" s="243">
        <v>2178595</v>
      </c>
      <c r="C37" s="246">
        <v>1038</v>
      </c>
      <c r="D37" s="244">
        <v>13.84</v>
      </c>
      <c r="E37" s="245">
        <v>143.69</v>
      </c>
    </row>
    <row r="38" spans="1:5" ht="12.75">
      <c r="A38" s="242" t="s">
        <v>169</v>
      </c>
      <c r="B38" s="243">
        <v>4146430</v>
      </c>
      <c r="C38" s="246">
        <v>1120</v>
      </c>
      <c r="D38" s="244">
        <v>9.52</v>
      </c>
      <c r="E38" s="245">
        <v>106.61</v>
      </c>
    </row>
    <row r="39" spans="1:5" ht="12.75">
      <c r="A39" s="242" t="s">
        <v>170</v>
      </c>
      <c r="B39" s="243">
        <v>2068598</v>
      </c>
      <c r="C39" s="246">
        <v>1198</v>
      </c>
      <c r="D39" s="244">
        <v>9.89</v>
      </c>
      <c r="E39" s="245">
        <v>118.4</v>
      </c>
    </row>
    <row r="40" spans="1:5" ht="12.75">
      <c r="A40" s="242" t="s">
        <v>171</v>
      </c>
      <c r="B40" s="243">
        <v>3169282</v>
      </c>
      <c r="C40" s="246">
        <v>1173</v>
      </c>
      <c r="D40" s="244">
        <v>9.62</v>
      </c>
      <c r="E40" s="245">
        <v>112.75</v>
      </c>
    </row>
    <row r="41" spans="1:5" ht="12.75">
      <c r="A41" s="242" t="s">
        <v>172</v>
      </c>
      <c r="B41" s="243">
        <v>863650</v>
      </c>
      <c r="C41" s="246">
        <v>1135</v>
      </c>
      <c r="D41" s="244">
        <v>7.06</v>
      </c>
      <c r="E41" s="245">
        <v>80.15</v>
      </c>
    </row>
    <row r="42" spans="1:5" ht="12.75">
      <c r="A42" s="238" t="s">
        <v>173</v>
      </c>
      <c r="B42" s="239">
        <v>7962774</v>
      </c>
      <c r="C42" s="247">
        <v>1256</v>
      </c>
      <c r="D42" s="240">
        <v>9.32</v>
      </c>
      <c r="E42" s="241">
        <v>116.98</v>
      </c>
    </row>
    <row r="43" spans="1:5" ht="12.75">
      <c r="A43" s="242" t="s">
        <v>174</v>
      </c>
      <c r="B43" s="243">
        <v>2110859</v>
      </c>
      <c r="C43" s="246">
        <v>1271</v>
      </c>
      <c r="D43" s="244">
        <v>10.4</v>
      </c>
      <c r="E43" s="245">
        <v>132.16</v>
      </c>
    </row>
    <row r="44" spans="1:5" ht="12.75">
      <c r="A44" s="242" t="s">
        <v>175</v>
      </c>
      <c r="B44" s="243">
        <v>1928082</v>
      </c>
      <c r="C44" s="246">
        <v>1191</v>
      </c>
      <c r="D44" s="244">
        <v>7.94</v>
      </c>
      <c r="E44" s="245">
        <v>94.64</v>
      </c>
    </row>
    <row r="45" spans="1:5" ht="12.75">
      <c r="A45" s="242" t="s">
        <v>176</v>
      </c>
      <c r="B45" s="243">
        <v>1238408</v>
      </c>
      <c r="C45" s="246">
        <v>1231</v>
      </c>
      <c r="D45" s="244">
        <v>10.39</v>
      </c>
      <c r="E45" s="245">
        <v>127.95</v>
      </c>
    </row>
    <row r="46" spans="1:5" ht="12.75">
      <c r="A46" s="242" t="s">
        <v>177</v>
      </c>
      <c r="B46" s="243">
        <v>2685425</v>
      </c>
      <c r="C46" s="246">
        <v>1302</v>
      </c>
      <c r="D46" s="244">
        <v>8.91</v>
      </c>
      <c r="E46" s="245">
        <v>116.02</v>
      </c>
    </row>
    <row r="47" spans="1:5" ht="12.75">
      <c r="A47" s="238" t="s">
        <v>178</v>
      </c>
      <c r="B47" s="239">
        <v>14279978</v>
      </c>
      <c r="C47" s="247">
        <v>1143</v>
      </c>
      <c r="D47" s="240">
        <v>11.86</v>
      </c>
      <c r="E47" s="241">
        <v>135.48</v>
      </c>
    </row>
    <row r="48" spans="1:5" ht="12.75">
      <c r="A48" s="242" t="s">
        <v>179</v>
      </c>
      <c r="B48" s="243">
        <v>1308810</v>
      </c>
      <c r="C48" s="246">
        <v>1107</v>
      </c>
      <c r="D48" s="244">
        <v>9.27</v>
      </c>
      <c r="E48" s="245">
        <v>102.69</v>
      </c>
    </row>
    <row r="49" spans="1:5" ht="12.75">
      <c r="A49" s="242" t="s">
        <v>180</v>
      </c>
      <c r="B49" s="243">
        <v>1919826</v>
      </c>
      <c r="C49" s="246">
        <v>1252</v>
      </c>
      <c r="D49" s="244">
        <v>10.28</v>
      </c>
      <c r="E49" s="245">
        <v>128.77</v>
      </c>
    </row>
    <row r="50" spans="1:5" ht="12.75">
      <c r="A50" s="242" t="s">
        <v>181</v>
      </c>
      <c r="B50" s="243">
        <v>1633265</v>
      </c>
      <c r="C50" s="246">
        <v>1115</v>
      </c>
      <c r="D50" s="244">
        <v>9.09</v>
      </c>
      <c r="E50" s="245">
        <v>101.39</v>
      </c>
    </row>
    <row r="51" spans="1:5" ht="12.75">
      <c r="A51" s="242" t="s">
        <v>182</v>
      </c>
      <c r="B51" s="243">
        <v>9418077</v>
      </c>
      <c r="C51" s="246">
        <v>1130</v>
      </c>
      <c r="D51" s="244">
        <v>13.04</v>
      </c>
      <c r="E51" s="245">
        <v>147.32</v>
      </c>
    </row>
    <row r="52" spans="1:5" ht="12.75">
      <c r="A52" s="238" t="s">
        <v>183</v>
      </c>
      <c r="B52" s="239">
        <v>8891840</v>
      </c>
      <c r="C52" s="240">
        <v>882</v>
      </c>
      <c r="D52" s="240">
        <v>9.84</v>
      </c>
      <c r="E52" s="241">
        <v>86.74</v>
      </c>
    </row>
    <row r="53" spans="1:5" ht="12.75">
      <c r="A53" s="242" t="s">
        <v>184</v>
      </c>
      <c r="B53" s="243">
        <v>2528405</v>
      </c>
      <c r="C53" s="246">
        <v>1095</v>
      </c>
      <c r="D53" s="244">
        <v>10.27</v>
      </c>
      <c r="E53" s="245">
        <v>112.47</v>
      </c>
    </row>
    <row r="54" spans="1:5" ht="12.75">
      <c r="A54" s="242" t="s">
        <v>185</v>
      </c>
      <c r="B54" s="243">
        <v>2173458</v>
      </c>
      <c r="C54" s="244">
        <v>679</v>
      </c>
      <c r="D54" s="244">
        <v>10.13</v>
      </c>
      <c r="E54" s="245">
        <v>68.8</v>
      </c>
    </row>
    <row r="55" spans="1:5" ht="12.75">
      <c r="A55" s="242" t="s">
        <v>186</v>
      </c>
      <c r="B55" s="243">
        <v>654545</v>
      </c>
      <c r="C55" s="246">
        <v>1087</v>
      </c>
      <c r="D55" s="244">
        <v>6.99</v>
      </c>
      <c r="E55" s="245">
        <v>76.01</v>
      </c>
    </row>
    <row r="56" spans="1:5" ht="12.75">
      <c r="A56" s="242" t="s">
        <v>187</v>
      </c>
      <c r="B56" s="243">
        <v>461600</v>
      </c>
      <c r="C56" s="244">
        <v>843</v>
      </c>
      <c r="D56" s="244">
        <v>9.13</v>
      </c>
      <c r="E56" s="245">
        <v>76.95</v>
      </c>
    </row>
    <row r="57" spans="1:5" ht="12.75">
      <c r="A57" s="242" t="s">
        <v>188</v>
      </c>
      <c r="B57" s="243">
        <v>1054691</v>
      </c>
      <c r="C57" s="244">
        <v>953</v>
      </c>
      <c r="D57" s="244">
        <v>11.93</v>
      </c>
      <c r="E57" s="245">
        <v>113.68</v>
      </c>
    </row>
    <row r="58" spans="1:5" ht="12.75">
      <c r="A58" s="242" t="s">
        <v>189</v>
      </c>
      <c r="B58" s="243">
        <v>841329</v>
      </c>
      <c r="C58" s="244">
        <v>632</v>
      </c>
      <c r="D58" s="244">
        <v>10.01</v>
      </c>
      <c r="E58" s="245">
        <v>63.24</v>
      </c>
    </row>
    <row r="59" spans="1:5" ht="12.75">
      <c r="A59" s="242" t="s">
        <v>190</v>
      </c>
      <c r="B59" s="243">
        <v>924826</v>
      </c>
      <c r="C59" s="244">
        <v>792</v>
      </c>
      <c r="D59" s="244">
        <v>8.26</v>
      </c>
      <c r="E59" s="245">
        <v>65.36</v>
      </c>
    </row>
    <row r="60" spans="1:5" ht="12.75">
      <c r="A60" s="242" t="s">
        <v>191</v>
      </c>
      <c r="B60" s="243">
        <v>252986</v>
      </c>
      <c r="C60" s="244">
        <v>896</v>
      </c>
      <c r="D60" s="244">
        <v>8.21</v>
      </c>
      <c r="E60" s="245">
        <v>73.56</v>
      </c>
    </row>
    <row r="61" spans="1:5" ht="12.75">
      <c r="A61" s="238" t="s">
        <v>192</v>
      </c>
      <c r="B61" s="239">
        <v>17347503</v>
      </c>
      <c r="C61" s="240">
        <v>708</v>
      </c>
      <c r="D61" s="240">
        <v>11.55</v>
      </c>
      <c r="E61" s="241">
        <v>81.79</v>
      </c>
    </row>
    <row r="62" spans="1:5" ht="12.75">
      <c r="A62" s="242" t="s">
        <v>193</v>
      </c>
      <c r="B62" s="243">
        <v>12941717</v>
      </c>
      <c r="C62" s="244">
        <v>587</v>
      </c>
      <c r="D62" s="244">
        <v>13.81</v>
      </c>
      <c r="E62" s="245">
        <v>81.1</v>
      </c>
    </row>
    <row r="63" spans="1:5" ht="12.75">
      <c r="A63" s="242" t="s">
        <v>194</v>
      </c>
      <c r="B63" s="243">
        <v>1616598</v>
      </c>
      <c r="C63" s="246">
        <v>1026</v>
      </c>
      <c r="D63" s="244">
        <v>8.49</v>
      </c>
      <c r="E63" s="245">
        <v>87.16</v>
      </c>
    </row>
    <row r="64" spans="1:5" ht="12.75">
      <c r="A64" s="242" t="s">
        <v>195</v>
      </c>
      <c r="B64" s="243">
        <v>2789188</v>
      </c>
      <c r="C64" s="246">
        <v>1086</v>
      </c>
      <c r="D64" s="244">
        <v>7.54</v>
      </c>
      <c r="E64" s="245">
        <v>81.89</v>
      </c>
    </row>
    <row r="65" spans="1:5" ht="18.75">
      <c r="A65" s="238" t="s">
        <v>196</v>
      </c>
      <c r="B65" s="239">
        <v>678306</v>
      </c>
      <c r="C65" s="240">
        <v>641</v>
      </c>
      <c r="D65" s="240">
        <v>25.98</v>
      </c>
      <c r="E65" s="241">
        <v>166.46</v>
      </c>
    </row>
    <row r="66" spans="1:5" ht="12.75">
      <c r="A66" s="242" t="s">
        <v>197</v>
      </c>
      <c r="B66" s="243">
        <v>268638</v>
      </c>
      <c r="C66" s="244">
        <v>661</v>
      </c>
      <c r="D66" s="244">
        <v>16.55</v>
      </c>
      <c r="E66" s="245">
        <v>109.31</v>
      </c>
    </row>
    <row r="67" spans="1:5" ht="12.75">
      <c r="A67" s="242" t="s">
        <v>198</v>
      </c>
      <c r="B67" s="243">
        <v>409668</v>
      </c>
      <c r="C67" s="244">
        <v>628</v>
      </c>
      <c r="D67" s="244">
        <v>32.5</v>
      </c>
      <c r="E67" s="245">
        <v>203.94</v>
      </c>
    </row>
    <row r="68" spans="1:5" ht="12.75">
      <c r="A68" s="238" t="s">
        <v>199</v>
      </c>
      <c r="B68" s="239">
        <v>124937469</v>
      </c>
      <c r="C68" s="240">
        <v>920</v>
      </c>
      <c r="D68" s="240">
        <v>11.26</v>
      </c>
      <c r="E68" s="241">
        <v>103.67</v>
      </c>
    </row>
    <row r="70" ht="12.75">
      <c r="D70" s="235"/>
    </row>
    <row r="71" ht="12.75">
      <c r="D71" s="235"/>
    </row>
    <row r="72" ht="12.75">
      <c r="D72" s="235"/>
    </row>
  </sheetData>
  <sheetProtection/>
  <mergeCells count="1">
    <mergeCell ref="A5:E5"/>
  </mergeCells>
  <hyperlinks>
    <hyperlink ref="A2" r:id="rId1" display="http://www.eia.doe.gov/cneaf/electricity/esr/table5.html"/>
  </hyperlinks>
  <printOptions/>
  <pageMargins left="0.7" right="0.7" top="0.75" bottom="0.75" header="0.3" footer="0.3"/>
  <pageSetup horizontalDpi="600" verticalDpi="600" orientation="portrait" r:id="rId3"/>
  <drawing r:id="rId2"/>
</worksheet>
</file>

<file path=xl/worksheets/sheet4.xml><?xml version="1.0" encoding="utf-8"?>
<worksheet xmlns="http://schemas.openxmlformats.org/spreadsheetml/2006/main" xmlns:r="http://schemas.openxmlformats.org/officeDocument/2006/relationships">
  <dimension ref="A1:N90"/>
  <sheetViews>
    <sheetView zoomScale="80" zoomScaleNormal="80" zoomScalePageLayoutView="0" workbookViewId="0" topLeftCell="A1">
      <selection activeCell="B2" sqref="B2"/>
    </sheetView>
  </sheetViews>
  <sheetFormatPr defaultColWidth="9.140625" defaultRowHeight="12.75"/>
  <cols>
    <col min="1" max="1" width="3.7109375" style="226" customWidth="1"/>
    <col min="2" max="11" width="9.140625" style="226" customWidth="1"/>
    <col min="12" max="12" width="9.7109375" style="226" customWidth="1"/>
    <col min="13" max="13" width="17.57421875" style="226" customWidth="1"/>
    <col min="14" max="16384" width="9.140625" style="226" customWidth="1"/>
  </cols>
  <sheetData>
    <row r="1" spans="1:7" ht="18.75">
      <c r="A1" s="228" t="s">
        <v>206</v>
      </c>
      <c r="B1" s="228"/>
      <c r="C1" s="228"/>
      <c r="D1" s="228"/>
      <c r="E1" s="228"/>
      <c r="F1" s="228"/>
      <c r="G1" s="228"/>
    </row>
    <row r="2" spans="2:12" ht="12.75">
      <c r="B2" s="230" t="s">
        <v>207</v>
      </c>
      <c r="C2" s="230" t="s">
        <v>205</v>
      </c>
      <c r="D2" s="230"/>
      <c r="E2" s="230"/>
      <c r="F2" s="230"/>
      <c r="G2" s="230"/>
      <c r="H2" s="230"/>
      <c r="I2" s="230"/>
      <c r="J2" s="230"/>
      <c r="K2" s="230"/>
      <c r="L2" s="230"/>
    </row>
    <row r="5" ht="12.75">
      <c r="A5" s="227"/>
    </row>
    <row r="6" ht="12.75">
      <c r="A6" s="227"/>
    </row>
    <row r="7" ht="12.75">
      <c r="A7" s="227"/>
    </row>
    <row r="8" ht="12.75">
      <c r="A8" s="227"/>
    </row>
    <row r="9" ht="12.75">
      <c r="A9" s="227"/>
    </row>
    <row r="10" ht="12.75">
      <c r="A10" s="227"/>
    </row>
    <row r="11" ht="12.75">
      <c r="A11" s="227"/>
    </row>
    <row r="12" ht="12.75">
      <c r="A12" s="227"/>
    </row>
    <row r="13" ht="12.75">
      <c r="A13" s="227"/>
    </row>
    <row r="14" ht="12.75">
      <c r="A14" s="227"/>
    </row>
    <row r="15" ht="12.75">
      <c r="A15" s="227"/>
    </row>
    <row r="16" ht="12.75">
      <c r="A16" s="227"/>
    </row>
    <row r="17" ht="12.75">
      <c r="A17" s="227"/>
    </row>
    <row r="18" ht="12.75">
      <c r="A18" s="227"/>
    </row>
    <row r="19" ht="12.75">
      <c r="A19" s="227"/>
    </row>
    <row r="20" ht="12.75">
      <c r="A20" s="227"/>
    </row>
    <row r="21" spans="1:14" ht="12.75">
      <c r="A21" s="227"/>
      <c r="N21" s="231"/>
    </row>
    <row r="22" ht="12.75">
      <c r="A22" s="227"/>
    </row>
    <row r="23" ht="12.75">
      <c r="A23" s="227"/>
    </row>
    <row r="24" ht="12.75">
      <c r="A24" s="227"/>
    </row>
    <row r="25" ht="12.75">
      <c r="A25" s="227"/>
    </row>
    <row r="26" ht="12.75">
      <c r="A26" s="227"/>
    </row>
    <row r="27" ht="12.75">
      <c r="A27" s="227"/>
    </row>
    <row r="28" ht="12.75">
      <c r="A28" s="227"/>
    </row>
    <row r="29" ht="12.75">
      <c r="A29" s="227"/>
    </row>
    <row r="30" ht="12.75">
      <c r="A30" s="227"/>
    </row>
    <row r="31" ht="12.75">
      <c r="A31" s="227"/>
    </row>
    <row r="32" ht="12.75">
      <c r="A32" s="227"/>
    </row>
    <row r="33" ht="12.75">
      <c r="A33" s="227"/>
    </row>
    <row r="34" ht="12.75">
      <c r="A34" s="227"/>
    </row>
    <row r="35" ht="12.75">
      <c r="A35" s="227"/>
    </row>
    <row r="36" spans="1:14" ht="12.75">
      <c r="A36" s="227"/>
      <c r="N36" s="231"/>
    </row>
    <row r="37" ht="12.75">
      <c r="A37" s="227"/>
    </row>
    <row r="38" ht="12.75">
      <c r="A38" s="227"/>
    </row>
    <row r="39" ht="12.75">
      <c r="A39" s="227"/>
    </row>
    <row r="40" ht="12.75">
      <c r="A40" s="227"/>
    </row>
    <row r="41" ht="12.75">
      <c r="A41" s="227"/>
    </row>
    <row r="42" ht="12.75">
      <c r="A42" s="227"/>
    </row>
    <row r="43" ht="12.75">
      <c r="A43" s="227"/>
    </row>
    <row r="44" ht="12.75">
      <c r="A44" s="227"/>
    </row>
    <row r="45" ht="12.75">
      <c r="A45" s="227"/>
    </row>
    <row r="46" ht="12.75">
      <c r="A46" s="227"/>
    </row>
    <row r="47" ht="12.75">
      <c r="A47" s="227"/>
    </row>
    <row r="48" ht="12.75">
      <c r="A48" s="227"/>
    </row>
    <row r="49" ht="12.75">
      <c r="A49" s="227"/>
    </row>
    <row r="50" ht="12.75">
      <c r="A50" s="227"/>
    </row>
    <row r="51" ht="12.75">
      <c r="A51" s="227"/>
    </row>
    <row r="52" ht="12.75">
      <c r="A52" s="227"/>
    </row>
    <row r="53" ht="12.75">
      <c r="A53" s="227"/>
    </row>
    <row r="54" ht="12.75">
      <c r="A54" s="227"/>
    </row>
    <row r="55" ht="12.75">
      <c r="A55" s="227"/>
    </row>
    <row r="56" ht="12.75">
      <c r="A56" s="227"/>
    </row>
    <row r="57" ht="12.75">
      <c r="A57" s="227"/>
    </row>
    <row r="58" ht="12.75">
      <c r="A58" s="227"/>
    </row>
    <row r="59" ht="12.75">
      <c r="A59" s="227"/>
    </row>
    <row r="60" ht="12.75">
      <c r="A60" s="227"/>
    </row>
    <row r="61" ht="12.75">
      <c r="A61" s="227"/>
    </row>
    <row r="62" ht="12.75">
      <c r="A62" s="227"/>
    </row>
    <row r="63" ht="12.75">
      <c r="A63" s="227"/>
    </row>
    <row r="64" ht="12.75">
      <c r="A64" s="227"/>
    </row>
    <row r="65" ht="12.75">
      <c r="A65" s="227"/>
    </row>
    <row r="66" ht="12.75">
      <c r="A66" s="227"/>
    </row>
    <row r="67" ht="12.75">
      <c r="A67" s="227"/>
    </row>
    <row r="68" ht="12.75">
      <c r="A68" s="227"/>
    </row>
    <row r="69" ht="12.75">
      <c r="A69" s="227"/>
    </row>
    <row r="70" ht="12.75">
      <c r="A70" s="227"/>
    </row>
    <row r="71" ht="12.75">
      <c r="A71" s="227"/>
    </row>
    <row r="72" ht="12.75">
      <c r="A72" s="227"/>
    </row>
    <row r="73" ht="12.75">
      <c r="A73" s="227"/>
    </row>
    <row r="74" ht="12.75">
      <c r="A74" s="227"/>
    </row>
    <row r="75" ht="12.75">
      <c r="A75" s="227"/>
    </row>
    <row r="76" ht="12.75">
      <c r="A76" s="227"/>
    </row>
    <row r="77" ht="12.75">
      <c r="A77" s="227"/>
    </row>
    <row r="78" ht="12.75">
      <c r="A78" s="227"/>
    </row>
    <row r="79" ht="12.75">
      <c r="A79" s="227"/>
    </row>
    <row r="80" ht="12.75">
      <c r="A80" s="227"/>
    </row>
    <row r="81" ht="12.75">
      <c r="A81" s="227"/>
    </row>
    <row r="82" ht="12.75">
      <c r="A82" s="227"/>
    </row>
    <row r="83" ht="12.75">
      <c r="A83" s="227"/>
    </row>
    <row r="84" ht="12.75">
      <c r="A84" s="227"/>
    </row>
    <row r="85" ht="12.75">
      <c r="A85" s="227"/>
    </row>
    <row r="86" ht="12.75">
      <c r="A86" s="227"/>
    </row>
    <row r="87" ht="12.75">
      <c r="A87" s="227"/>
    </row>
    <row r="88" ht="12.75">
      <c r="A88" s="227"/>
    </row>
    <row r="89" ht="12.75">
      <c r="A89" s="227"/>
    </row>
    <row r="90" ht="12.75">
      <c r="A90" s="227"/>
    </row>
  </sheetData>
  <sheetProtection/>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B5"/>
  <sheetViews>
    <sheetView zoomScalePageLayoutView="0" workbookViewId="0" topLeftCell="A1">
      <selection activeCell="B10" sqref="B10"/>
    </sheetView>
  </sheetViews>
  <sheetFormatPr defaultColWidth="9.140625" defaultRowHeight="12.75"/>
  <cols>
    <col min="1" max="16384" width="9.140625" style="226" customWidth="1"/>
  </cols>
  <sheetData>
    <row r="1" ht="18.75">
      <c r="A1" s="228" t="s">
        <v>208</v>
      </c>
    </row>
    <row r="2" ht="12.75">
      <c r="B2" s="226" t="s">
        <v>209</v>
      </c>
    </row>
    <row r="3" ht="12.75">
      <c r="B3" s="226" t="s">
        <v>211</v>
      </c>
    </row>
    <row r="4" ht="12.75">
      <c r="A4" s="226" t="s">
        <v>212</v>
      </c>
    </row>
    <row r="5" ht="18.75">
      <c r="A5" s="229" t="s">
        <v>210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N49"/>
  <sheetViews>
    <sheetView zoomScalePageLayoutView="0" workbookViewId="0" topLeftCell="A7">
      <selection activeCell="C12" sqref="C12"/>
    </sheetView>
  </sheetViews>
  <sheetFormatPr defaultColWidth="9.140625" defaultRowHeight="12.75"/>
  <cols>
    <col min="1" max="1" width="9.140625" style="185" customWidth="1"/>
    <col min="2" max="3" width="23.57421875" style="185" customWidth="1"/>
    <col min="4" max="4" width="19.8515625" style="185" customWidth="1"/>
    <col min="5" max="5" width="19.7109375" style="185" customWidth="1"/>
    <col min="6" max="6" width="29.28125" style="185" customWidth="1"/>
    <col min="7" max="7" width="26.140625" style="185" customWidth="1"/>
    <col min="8" max="8" width="10.421875" style="185" customWidth="1"/>
    <col min="9" max="9" width="4.421875" style="185" customWidth="1"/>
    <col min="10" max="10" width="12.8515625" style="185" customWidth="1"/>
    <col min="11" max="11" width="4.8515625" style="185" customWidth="1"/>
    <col min="12" max="12" width="13.28125" style="185" customWidth="1"/>
    <col min="13" max="13" width="4.57421875" style="185" customWidth="1"/>
    <col min="14" max="14" width="11.28125" style="185" customWidth="1"/>
    <col min="15" max="16384" width="9.140625" style="185" customWidth="1"/>
  </cols>
  <sheetData>
    <row r="1" ht="15">
      <c r="B1" s="185" t="s">
        <v>64</v>
      </c>
    </row>
    <row r="2" ht="15.75" thickBot="1"/>
    <row r="3" spans="2:6" ht="15.75" thickBot="1">
      <c r="B3" s="186"/>
      <c r="C3" s="187" t="s">
        <v>66</v>
      </c>
      <c r="D3" s="188" t="s">
        <v>65</v>
      </c>
      <c r="E3" s="189"/>
      <c r="F3" s="190"/>
    </row>
    <row r="4" spans="2:6" ht="15">
      <c r="B4" s="191" t="s">
        <v>67</v>
      </c>
      <c r="C4" s="192">
        <v>0.739</v>
      </c>
      <c r="D4" s="193">
        <v>0.9</v>
      </c>
      <c r="E4" s="194">
        <f>C4*D4</f>
        <v>0.6651</v>
      </c>
      <c r="F4" s="195"/>
    </row>
    <row r="5" spans="2:6" ht="15">
      <c r="B5" s="191" t="s">
        <v>68</v>
      </c>
      <c r="C5" s="192">
        <v>0.787</v>
      </c>
      <c r="D5" s="193">
        <v>0.1</v>
      </c>
      <c r="E5" s="196">
        <f>C5*D5</f>
        <v>0.0787</v>
      </c>
      <c r="F5" s="195"/>
    </row>
    <row r="6" spans="2:6" ht="15">
      <c r="B6" s="191" t="s">
        <v>69</v>
      </c>
      <c r="C6" s="194"/>
      <c r="D6" s="194"/>
      <c r="E6" s="194">
        <f>SUM(E4:E5)</f>
        <v>0.7438</v>
      </c>
      <c r="F6" s="195"/>
    </row>
    <row r="7" spans="2:6" ht="15">
      <c r="B7" s="191"/>
      <c r="C7" s="194"/>
      <c r="D7" s="194"/>
      <c r="E7" s="194"/>
      <c r="F7" s="195"/>
    </row>
    <row r="8" spans="2:6" ht="15">
      <c r="B8" s="191"/>
      <c r="C8" s="194"/>
      <c r="D8" s="194"/>
      <c r="E8" s="194"/>
      <c r="F8" s="195"/>
    </row>
    <row r="9" spans="2:6" ht="15">
      <c r="B9" s="191" t="s">
        <v>70</v>
      </c>
      <c r="C9" s="194">
        <v>8.35</v>
      </c>
      <c r="D9" s="194" t="s">
        <v>71</v>
      </c>
      <c r="E9" s="194"/>
      <c r="F9" s="195"/>
    </row>
    <row r="10" spans="2:6" ht="15">
      <c r="B10" s="191" t="s">
        <v>72</v>
      </c>
      <c r="C10" s="194"/>
      <c r="D10" s="194"/>
      <c r="E10" s="194">
        <f>C9*E6</f>
        <v>6.21073</v>
      </c>
      <c r="F10" s="195" t="s">
        <v>71</v>
      </c>
    </row>
    <row r="11" spans="2:6" ht="15">
      <c r="B11" s="191"/>
      <c r="C11" s="192" t="s">
        <v>73</v>
      </c>
      <c r="D11" s="194"/>
      <c r="E11" s="194"/>
      <c r="F11" s="195"/>
    </row>
    <row r="12" spans="2:6" ht="15.75" thickBot="1">
      <c r="B12" s="197" t="s">
        <v>72</v>
      </c>
      <c r="C12" s="198">
        <v>453.59237</v>
      </c>
      <c r="D12" s="199" t="s">
        <v>74</v>
      </c>
      <c r="E12" s="200">
        <f>E10*C12</f>
        <v>2817.1397401301</v>
      </c>
      <c r="F12" s="201" t="s">
        <v>82</v>
      </c>
    </row>
    <row r="15" ht="15">
      <c r="B15" s="202" t="s">
        <v>75</v>
      </c>
    </row>
    <row r="16" ht="15.75" thickBot="1">
      <c r="B16" s="202"/>
    </row>
    <row r="17" spans="1:6" ht="15">
      <c r="A17" s="203" t="s">
        <v>79</v>
      </c>
      <c r="C17" s="204" t="s">
        <v>77</v>
      </c>
      <c r="D17" s="204" t="s">
        <v>80</v>
      </c>
      <c r="E17" s="204" t="s">
        <v>81</v>
      </c>
      <c r="F17" s="205" t="s">
        <v>102</v>
      </c>
    </row>
    <row r="18" spans="1:6" ht="18.75" customHeight="1">
      <c r="A18" s="206">
        <v>240</v>
      </c>
      <c r="B18" s="185" t="s">
        <v>76</v>
      </c>
      <c r="C18" s="207">
        <v>0.9</v>
      </c>
      <c r="D18" s="208">
        <f>A18/C18</f>
        <v>266.6666666666667</v>
      </c>
      <c r="E18" s="206">
        <v>270</v>
      </c>
      <c r="F18" s="261">
        <f>(E18+E19)/2</f>
        <v>315</v>
      </c>
    </row>
    <row r="19" spans="1:6" ht="15.75" thickBot="1">
      <c r="A19" s="209">
        <v>290</v>
      </c>
      <c r="B19" s="185" t="s">
        <v>78</v>
      </c>
      <c r="C19" s="210">
        <v>0.8</v>
      </c>
      <c r="D19" s="211">
        <f>A19/C19</f>
        <v>362.5</v>
      </c>
      <c r="E19" s="209">
        <v>360</v>
      </c>
      <c r="F19" s="262"/>
    </row>
    <row r="21" ht="15">
      <c r="F21" s="212" t="s">
        <v>97</v>
      </c>
    </row>
    <row r="22" spans="1:6" ht="15">
      <c r="A22" s="185" t="s">
        <v>84</v>
      </c>
      <c r="F22" s="213">
        <v>74.57</v>
      </c>
    </row>
    <row r="23" spans="1:6" ht="15">
      <c r="A23" s="185" t="s">
        <v>83</v>
      </c>
      <c r="F23" s="214">
        <v>18.64</v>
      </c>
    </row>
    <row r="24" spans="1:6" ht="15">
      <c r="A24" s="185" t="s">
        <v>85</v>
      </c>
      <c r="F24" s="214">
        <f>F22/2</f>
        <v>37.285</v>
      </c>
    </row>
    <row r="26" spans="1:6" ht="15">
      <c r="A26" s="185" t="s">
        <v>86</v>
      </c>
      <c r="E26" s="185" t="s">
        <v>87</v>
      </c>
      <c r="F26" s="185">
        <f>(F23+F24)/2</f>
        <v>27.9625</v>
      </c>
    </row>
    <row r="27" ht="15.75" thickBot="1"/>
    <row r="28" spans="5:14" ht="15.75" thickBot="1">
      <c r="E28" s="185" t="s">
        <v>98</v>
      </c>
      <c r="G28" s="187" t="s">
        <v>91</v>
      </c>
      <c r="J28" s="187" t="s">
        <v>94</v>
      </c>
      <c r="L28" s="187" t="s">
        <v>95</v>
      </c>
      <c r="N28" s="215" t="s">
        <v>96</v>
      </c>
    </row>
    <row r="29" spans="1:14" ht="15">
      <c r="A29" s="185" t="s">
        <v>88</v>
      </c>
      <c r="C29" s="185">
        <v>27.9625</v>
      </c>
      <c r="D29" s="212" t="s">
        <v>89</v>
      </c>
      <c r="E29" s="212">
        <v>315</v>
      </c>
      <c r="F29" s="212" t="s">
        <v>90</v>
      </c>
      <c r="G29" s="216">
        <f>C29*E29</f>
        <v>8808.1875</v>
      </c>
      <c r="H29" s="185" t="s">
        <v>93</v>
      </c>
      <c r="J29" s="214">
        <f>G29/$E$12</f>
        <v>3.1266420243651893</v>
      </c>
      <c r="L29" s="185">
        <v>55</v>
      </c>
      <c r="N29" s="217">
        <f>L29/J29</f>
        <v>17.590756975502114</v>
      </c>
    </row>
    <row r="30" spans="3:14" ht="15">
      <c r="C30" s="185">
        <v>37.285</v>
      </c>
      <c r="D30" s="212" t="s">
        <v>89</v>
      </c>
      <c r="E30" s="212">
        <v>316</v>
      </c>
      <c r="F30" s="212" t="s">
        <v>90</v>
      </c>
      <c r="G30" s="216">
        <f>C30*E30</f>
        <v>11782.06</v>
      </c>
      <c r="H30" s="185" t="s">
        <v>93</v>
      </c>
      <c r="J30" s="214">
        <f>G30/$E$12</f>
        <v>4.182277446931292</v>
      </c>
      <c r="L30" s="185">
        <v>70</v>
      </c>
      <c r="N30" s="217">
        <f>L30/J30</f>
        <v>16.737292273940806</v>
      </c>
    </row>
    <row r="31" ht="15">
      <c r="N31" s="217"/>
    </row>
    <row r="32" ht="15">
      <c r="N32" s="217"/>
    </row>
    <row r="33" spans="1:14" ht="15.75" thickBot="1">
      <c r="A33" s="185" t="s">
        <v>88</v>
      </c>
      <c r="N33" s="217"/>
    </row>
    <row r="34" spans="3:14" ht="38.25" customHeight="1" thickBot="1">
      <c r="C34" s="212" t="s">
        <v>253</v>
      </c>
      <c r="E34" s="218" t="s">
        <v>103</v>
      </c>
      <c r="G34" s="219" t="s">
        <v>91</v>
      </c>
      <c r="J34" s="219" t="s">
        <v>94</v>
      </c>
      <c r="L34" s="218" t="s">
        <v>99</v>
      </c>
      <c r="N34" s="220" t="s">
        <v>100</v>
      </c>
    </row>
    <row r="35" spans="3:14" ht="15">
      <c r="C35" s="185">
        <v>27.9625</v>
      </c>
      <c r="D35" s="212" t="s">
        <v>89</v>
      </c>
      <c r="E35" s="212">
        <v>270</v>
      </c>
      <c r="F35" s="212" t="s">
        <v>90</v>
      </c>
      <c r="G35" s="216">
        <f>C35*E35</f>
        <v>7549.875</v>
      </c>
      <c r="H35" s="185" t="s">
        <v>93</v>
      </c>
      <c r="J35" s="214">
        <f>G35/$E$12</f>
        <v>2.6799788780273053</v>
      </c>
      <c r="L35" s="185">
        <v>55</v>
      </c>
      <c r="N35" s="217">
        <f>L35/J35</f>
        <v>20.52254980475246</v>
      </c>
    </row>
    <row r="36" spans="3:14" ht="15.75" thickBot="1">
      <c r="C36" s="185">
        <v>37.285</v>
      </c>
      <c r="D36" s="212" t="s">
        <v>89</v>
      </c>
      <c r="E36" s="212">
        <v>270</v>
      </c>
      <c r="F36" s="212" t="s">
        <v>90</v>
      </c>
      <c r="G36" s="216">
        <f>C36*E36</f>
        <v>10066.949999999999</v>
      </c>
      <c r="H36" s="185" t="s">
        <v>93</v>
      </c>
      <c r="J36" s="214">
        <f>G36/$E$12</f>
        <v>3.5734649071881295</v>
      </c>
      <c r="L36" s="185">
        <v>70</v>
      </c>
      <c r="N36" s="217">
        <f>L36/J36</f>
        <v>19.58883095764924</v>
      </c>
    </row>
    <row r="37" spans="2:14" ht="15">
      <c r="B37" s="221" t="s">
        <v>101</v>
      </c>
      <c r="D37" s="212"/>
      <c r="E37" s="212"/>
      <c r="F37" s="212"/>
      <c r="G37" s="216"/>
      <c r="J37" s="214"/>
      <c r="N37" s="217"/>
    </row>
    <row r="38" spans="2:14" ht="15">
      <c r="B38" s="222">
        <f>C38/$F$22</f>
        <v>0.2682043717312592</v>
      </c>
      <c r="C38" s="185">
        <v>20</v>
      </c>
      <c r="D38" s="212" t="s">
        <v>89</v>
      </c>
      <c r="E38" s="212">
        <v>270</v>
      </c>
      <c r="F38" s="212" t="s">
        <v>90</v>
      </c>
      <c r="G38" s="216">
        <f>C38*E38</f>
        <v>5400</v>
      </c>
      <c r="H38" s="185" t="s">
        <v>93</v>
      </c>
      <c r="J38" s="214">
        <f>G38/$E$12</f>
        <v>1.9168378206721897</v>
      </c>
      <c r="L38" s="185">
        <v>70</v>
      </c>
      <c r="N38" s="217">
        <f>L38/J38</f>
        <v>36.518478112797595</v>
      </c>
    </row>
    <row r="39" spans="2:14" ht="15">
      <c r="B39" s="222">
        <f>C39/$F$22</f>
        <v>0.3352554646640741</v>
      </c>
      <c r="C39" s="185">
        <v>25</v>
      </c>
      <c r="D39" s="212" t="s">
        <v>89</v>
      </c>
      <c r="E39" s="212">
        <v>270</v>
      </c>
      <c r="F39" s="212" t="s">
        <v>90</v>
      </c>
      <c r="G39" s="216">
        <f>C39*E39</f>
        <v>6750</v>
      </c>
      <c r="H39" s="185" t="s">
        <v>93</v>
      </c>
      <c r="J39" s="214">
        <f>G39/$E$12</f>
        <v>2.396047275840237</v>
      </c>
      <c r="L39" s="185">
        <v>70</v>
      </c>
      <c r="N39" s="217">
        <f>L39/J39</f>
        <v>29.214782490238075</v>
      </c>
    </row>
    <row r="40" spans="2:14" ht="15">
      <c r="B40" s="222">
        <f>C40/$F$22</f>
        <v>0.4023065575968889</v>
      </c>
      <c r="C40" s="185">
        <v>30</v>
      </c>
      <c r="D40" s="212" t="s">
        <v>89</v>
      </c>
      <c r="E40" s="212">
        <v>270</v>
      </c>
      <c r="F40" s="212" t="s">
        <v>90</v>
      </c>
      <c r="G40" s="216">
        <f>C40*E40</f>
        <v>8100</v>
      </c>
      <c r="H40" s="185" t="s">
        <v>93</v>
      </c>
      <c r="J40" s="214">
        <f>G40/$E$12</f>
        <v>2.8752567310082844</v>
      </c>
      <c r="L40" s="185">
        <v>70</v>
      </c>
      <c r="N40" s="217">
        <f>L40/J40</f>
        <v>24.345652075198398</v>
      </c>
    </row>
    <row r="41" spans="2:14" ht="15">
      <c r="B41" s="222">
        <f>C41/$F$22</f>
        <v>0.4693576505297037</v>
      </c>
      <c r="C41" s="185">
        <v>35</v>
      </c>
      <c r="D41" s="212" t="s">
        <v>89</v>
      </c>
      <c r="E41" s="212">
        <v>270</v>
      </c>
      <c r="F41" s="212" t="s">
        <v>90</v>
      </c>
      <c r="G41" s="216">
        <f>C41*E41</f>
        <v>9450</v>
      </c>
      <c r="H41" s="185" t="s">
        <v>93</v>
      </c>
      <c r="J41" s="214">
        <f>G41/$E$12</f>
        <v>3.354466186176332</v>
      </c>
      <c r="L41" s="185">
        <v>70</v>
      </c>
      <c r="N41" s="217">
        <f>L41/J41</f>
        <v>20.86770177874148</v>
      </c>
    </row>
    <row r="42" spans="2:14" ht="15.75" thickBot="1">
      <c r="B42" s="223">
        <f>C42/$F$22</f>
        <v>0.5364087434625184</v>
      </c>
      <c r="C42" s="185">
        <v>40</v>
      </c>
      <c r="D42" s="212" t="s">
        <v>89</v>
      </c>
      <c r="E42" s="212">
        <v>270</v>
      </c>
      <c r="F42" s="212" t="s">
        <v>90</v>
      </c>
      <c r="G42" s="216">
        <f>C42*E42</f>
        <v>10800</v>
      </c>
      <c r="H42" s="185" t="s">
        <v>93</v>
      </c>
      <c r="J42" s="214">
        <f>G42/$E$12</f>
        <v>3.8336756413443793</v>
      </c>
      <c r="L42" s="185">
        <v>70</v>
      </c>
      <c r="N42" s="217">
        <f>L42/J42</f>
        <v>18.259239056398798</v>
      </c>
    </row>
    <row r="48" spans="3:12" ht="15">
      <c r="C48" s="185" t="s">
        <v>121</v>
      </c>
      <c r="E48" s="224">
        <v>270</v>
      </c>
      <c r="F48" s="224" t="s">
        <v>92</v>
      </c>
      <c r="G48" s="224">
        <v>2817.14</v>
      </c>
      <c r="H48" s="224" t="s">
        <v>92</v>
      </c>
      <c r="I48" s="224"/>
      <c r="J48" s="225">
        <v>1</v>
      </c>
      <c r="K48" s="225" t="s">
        <v>105</v>
      </c>
      <c r="L48" s="224"/>
    </row>
    <row r="49" spans="5:12" ht="15">
      <c r="E49" s="224">
        <v>1</v>
      </c>
      <c r="F49" s="224" t="s">
        <v>104</v>
      </c>
      <c r="G49" s="224">
        <v>10.43385</v>
      </c>
      <c r="H49" s="224" t="s">
        <v>104</v>
      </c>
      <c r="I49" s="224"/>
      <c r="J49" s="225">
        <v>10.43385</v>
      </c>
      <c r="K49" s="225" t="s">
        <v>104</v>
      </c>
      <c r="L49" s="224"/>
    </row>
  </sheetData>
  <sheetProtection/>
  <mergeCells count="1">
    <mergeCell ref="F18:F19"/>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Tiffany Consulting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Alternative vehicle decision tool - University of Minnesota Extension</dc:title>
  <dc:subject/>
  <dc:creator>Douglas Tiffany</dc:creator>
  <cp:keywords/>
  <dc:description>Copyright 2011, Regents of the University of Minnesota. All rights reserved. Send copyright permission inquiries to: Copyright Coodinator, University of Minnesota Extension, 405 Coffey Hall, 1420 Eckles Avenue, St. Paul, MN 55108-6068. Email to extcopy@umn.edu or fax to 612-625-3937.</dc:description>
  <cp:lastModifiedBy>Kathleen A Gallagher</cp:lastModifiedBy>
  <cp:lastPrinted>2010-09-17T18:49:22Z</cp:lastPrinted>
  <dcterms:created xsi:type="dcterms:W3CDTF">2009-03-22T01:54:24Z</dcterms:created>
  <dcterms:modified xsi:type="dcterms:W3CDTF">2011-10-24T21:04:59Z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