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awl0048\Desktop\SolarCalulators_CSG\"/>
    </mc:Choice>
  </mc:AlternateContent>
  <bookViews>
    <workbookView xWindow="0" yWindow="0" windowWidth="25200" windowHeight="11550"/>
  </bookViews>
  <sheets>
    <sheet name="ARR CSG Calculator Cover" sheetId="2" r:id="rId1"/>
    <sheet name="ARR Rates" sheetId="5" state="hidden" r:id="rId2"/>
    <sheet name="PAYASGO " sheetId="4" state="hidden" r:id="rId3"/>
    <sheet name="system size" sheetId="6" state="hidden" r:id="rId4"/>
    <sheet name="Breakdown" sheetId="8" state="hidden" r:id="rId5"/>
  </sheets>
  <definedNames>
    <definedName name="_xlnm.Print_Area" localSheetId="0">'ARR CSG Calculator Cover'!$A$1:$J$49</definedName>
    <definedName name="rates">'ARR Rates'!$B$1:$B$3</definedName>
    <definedName name="size">'system size'!$A$10:$A$14</definedName>
  </definedNames>
  <calcPr calcId="162913"/>
</workbook>
</file>

<file path=xl/calcChain.xml><?xml version="1.0" encoding="utf-8"?>
<calcChain xmlns="http://schemas.openxmlformats.org/spreadsheetml/2006/main">
  <c r="G10" i="2" l="1"/>
  <c r="K12" i="5" l="1"/>
  <c r="K13" i="5"/>
  <c r="K11" i="5"/>
  <c r="J12" i="5"/>
  <c r="J13" i="5"/>
  <c r="J11" i="5"/>
  <c r="I12" i="5"/>
  <c r="I13" i="5"/>
  <c r="I11" i="5"/>
  <c r="B13" i="4" l="1"/>
  <c r="D30" i="5"/>
  <c r="C30" i="5"/>
  <c r="D29" i="5"/>
  <c r="C29" i="5"/>
  <c r="D28" i="5"/>
  <c r="C28" i="5"/>
  <c r="D22" i="5"/>
  <c r="C22" i="5"/>
  <c r="D21" i="5"/>
  <c r="C21" i="5"/>
  <c r="D20" i="5"/>
  <c r="C20" i="5"/>
  <c r="D13" i="5" l="1"/>
  <c r="C13" i="5"/>
  <c r="D12" i="5"/>
  <c r="C12" i="5"/>
  <c r="D11" i="5"/>
  <c r="C11" i="5"/>
  <c r="D3" i="8" l="1"/>
  <c r="D9" i="8"/>
  <c r="D7" i="8"/>
  <c r="D6" i="8"/>
  <c r="D5" i="8"/>
  <c r="E13" i="8" s="1"/>
  <c r="D4" i="8"/>
  <c r="C13" i="8" s="1"/>
  <c r="B2" i="6"/>
  <c r="C14" i="8" l="1"/>
  <c r="C15" i="8" s="1"/>
  <c r="C16" i="8" s="1"/>
  <c r="C17" i="8" s="1"/>
  <c r="C18" i="8" s="1"/>
  <c r="C19" i="8" s="1"/>
  <c r="C20" i="8" s="1"/>
  <c r="C21" i="8" s="1"/>
  <c r="C22" i="8" s="1"/>
  <c r="C23" i="8" s="1"/>
  <c r="C24" i="8" s="1"/>
  <c r="C25" i="8" s="1"/>
  <c r="C26" i="8" s="1"/>
  <c r="C27" i="8" s="1"/>
  <c r="C28" i="8" s="1"/>
  <c r="C29" i="8" s="1"/>
  <c r="C30" i="8" s="1"/>
  <c r="C31" i="8" s="1"/>
  <c r="C32" i="8" s="1"/>
  <c r="C33" i="8" s="1"/>
  <c r="C34" i="8" s="1"/>
  <c r="C35" i="8" s="1"/>
  <c r="C36" i="8" s="1"/>
  <c r="C37" i="8" s="1"/>
  <c r="E14" i="8"/>
  <c r="F13" i="8"/>
  <c r="F14" i="8" l="1"/>
  <c r="E15" i="8"/>
  <c r="E16" i="8" l="1"/>
  <c r="F15" i="8"/>
  <c r="F16" i="8" l="1"/>
  <c r="E17" i="8"/>
  <c r="E18" i="8" l="1"/>
  <c r="F17" i="8"/>
  <c r="F18" i="8" l="1"/>
  <c r="E19" i="8"/>
  <c r="E20" i="8" l="1"/>
  <c r="F19" i="8"/>
  <c r="E21" i="8" l="1"/>
  <c r="F20" i="8"/>
  <c r="E22" i="8" l="1"/>
  <c r="F21" i="8"/>
  <c r="E23" i="8" l="1"/>
  <c r="F22" i="8"/>
  <c r="E24" i="8" l="1"/>
  <c r="F23" i="8"/>
  <c r="E25" i="8" l="1"/>
  <c r="F24" i="8"/>
  <c r="E26" i="8" l="1"/>
  <c r="F25" i="8"/>
  <c r="E27" i="8" l="1"/>
  <c r="F26" i="8"/>
  <c r="E28" i="8" l="1"/>
  <c r="F27" i="8"/>
  <c r="E29" i="8" l="1"/>
  <c r="F28" i="8"/>
  <c r="E30" i="8" l="1"/>
  <c r="F29" i="8"/>
  <c r="E31" i="8" l="1"/>
  <c r="F30" i="8"/>
  <c r="E32" i="8" l="1"/>
  <c r="F31" i="8"/>
  <c r="E33" i="8" l="1"/>
  <c r="F32" i="8"/>
  <c r="E34" i="8" l="1"/>
  <c r="F33" i="8"/>
  <c r="E35" i="8" l="1"/>
  <c r="F34" i="8"/>
  <c r="E36" i="8" l="1"/>
  <c r="F35" i="8"/>
  <c r="E37" i="8" l="1"/>
  <c r="F37" i="8" s="1"/>
  <c r="F36" i="8"/>
  <c r="G5" i="4" l="1"/>
  <c r="C15" i="4" l="1"/>
  <c r="B3" i="6"/>
  <c r="B4" i="6" s="1"/>
  <c r="B5" i="6" s="1"/>
  <c r="B6" i="6" s="1"/>
  <c r="B7" i="6" l="1"/>
  <c r="G4" i="4"/>
  <c r="G2" i="4"/>
  <c r="G17" i="2" l="1"/>
  <c r="G8" i="4"/>
  <c r="G6" i="4"/>
  <c r="G3" i="4"/>
  <c r="G19" i="2" l="1"/>
  <c r="B13" i="8"/>
  <c r="D15" i="4"/>
  <c r="E15" i="4" s="1"/>
  <c r="B15" i="4"/>
  <c r="F15" i="4" s="1"/>
  <c r="D13" i="4"/>
  <c r="C13" i="4"/>
  <c r="B14" i="8" l="1"/>
  <c r="D13" i="8"/>
  <c r="G13" i="8"/>
  <c r="C18" i="4"/>
  <c r="C33" i="4"/>
  <c r="C37" i="4"/>
  <c r="C24" i="4"/>
  <c r="C31" i="4"/>
  <c r="C38" i="4"/>
  <c r="C22" i="4"/>
  <c r="C29" i="4"/>
  <c r="C28" i="4"/>
  <c r="C19" i="4"/>
  <c r="C26" i="4"/>
  <c r="C36" i="4"/>
  <c r="C17" i="4"/>
  <c r="C25" i="4"/>
  <c r="C20" i="4"/>
  <c r="C27" i="4"/>
  <c r="C34" i="4"/>
  <c r="C21" i="4"/>
  <c r="C16" i="4"/>
  <c r="C32" i="4"/>
  <c r="C39" i="4"/>
  <c r="C23" i="4"/>
  <c r="C30" i="4"/>
  <c r="C35" i="4"/>
  <c r="B18" i="4"/>
  <c r="F18" i="4" s="1"/>
  <c r="B22" i="4"/>
  <c r="F22" i="4" s="1"/>
  <c r="B26" i="4"/>
  <c r="F26" i="4" s="1"/>
  <c r="B30" i="4"/>
  <c r="F30" i="4" s="1"/>
  <c r="B34" i="4"/>
  <c r="F34" i="4" s="1"/>
  <c r="B38" i="4"/>
  <c r="F38" i="4" s="1"/>
  <c r="B19" i="4"/>
  <c r="F19" i="4" s="1"/>
  <c r="B23" i="4"/>
  <c r="F23" i="4" s="1"/>
  <c r="B27" i="4"/>
  <c r="F27" i="4" s="1"/>
  <c r="B31" i="4"/>
  <c r="F31" i="4" s="1"/>
  <c r="B35" i="4"/>
  <c r="F35" i="4" s="1"/>
  <c r="B39" i="4"/>
  <c r="F39" i="4" s="1"/>
  <c r="B20" i="4"/>
  <c r="F20" i="4" s="1"/>
  <c r="B24" i="4"/>
  <c r="F24" i="4" s="1"/>
  <c r="B28" i="4"/>
  <c r="F28" i="4" s="1"/>
  <c r="B32" i="4"/>
  <c r="F32" i="4" s="1"/>
  <c r="B36" i="4"/>
  <c r="F36" i="4" s="1"/>
  <c r="B17" i="4"/>
  <c r="F17" i="4" s="1"/>
  <c r="B21" i="4"/>
  <c r="F21" i="4" s="1"/>
  <c r="B25" i="4"/>
  <c r="F25" i="4" s="1"/>
  <c r="B29" i="4"/>
  <c r="F29" i="4" s="1"/>
  <c r="B33" i="4"/>
  <c r="F33" i="4" s="1"/>
  <c r="B37" i="4"/>
  <c r="F37" i="4" s="1"/>
  <c r="B16" i="4"/>
  <c r="F16" i="4" s="1"/>
  <c r="D17" i="4"/>
  <c r="D19" i="4"/>
  <c r="D21" i="4"/>
  <c r="D23" i="4"/>
  <c r="D25" i="4"/>
  <c r="D27" i="4"/>
  <c r="D29" i="4"/>
  <c r="D31" i="4"/>
  <c r="D33" i="4"/>
  <c r="D35" i="4"/>
  <c r="D37" i="4"/>
  <c r="D39" i="4"/>
  <c r="D18" i="4"/>
  <c r="E18" i="4" s="1"/>
  <c r="D20" i="4"/>
  <c r="D22" i="4"/>
  <c r="D24" i="4"/>
  <c r="D26" i="4"/>
  <c r="D28" i="4"/>
  <c r="D30" i="4"/>
  <c r="E30" i="4" s="1"/>
  <c r="D32" i="4"/>
  <c r="D34" i="4"/>
  <c r="E34" i="4" s="1"/>
  <c r="D36" i="4"/>
  <c r="D38" i="4"/>
  <c r="D16" i="4"/>
  <c r="E19" i="4" l="1"/>
  <c r="E22" i="4"/>
  <c r="E17" i="4"/>
  <c r="E32" i="4"/>
  <c r="E24" i="4"/>
  <c r="E24" i="2" s="1"/>
  <c r="E37" i="4"/>
  <c r="H13" i="8"/>
  <c r="I13" i="8" s="1"/>
  <c r="E28" i="4"/>
  <c r="B15" i="8"/>
  <c r="D14" i="8"/>
  <c r="G14" i="8"/>
  <c r="D24" i="2"/>
  <c r="E38" i="4"/>
  <c r="E21" i="4"/>
  <c r="E29" i="4"/>
  <c r="F24" i="2" s="1"/>
  <c r="E36" i="4"/>
  <c r="E35" i="4"/>
  <c r="E27" i="4"/>
  <c r="E20" i="4"/>
  <c r="E26" i="4"/>
  <c r="E33" i="4"/>
  <c r="E25" i="4"/>
  <c r="E16" i="4"/>
  <c r="E39" i="4"/>
  <c r="E31" i="4"/>
  <c r="E23" i="4"/>
  <c r="G24" i="2"/>
  <c r="J13" i="8" l="1"/>
  <c r="K13" i="8" s="1"/>
  <c r="H14" i="8"/>
  <c r="J14" i="8" s="1"/>
  <c r="B16" i="8"/>
  <c r="D15" i="8"/>
  <c r="G15" i="8"/>
  <c r="H24" i="2"/>
  <c r="G15" i="4"/>
  <c r="K14" i="8" l="1"/>
  <c r="I14" i="8"/>
  <c r="H15" i="8"/>
  <c r="J15" i="8" s="1"/>
  <c r="B17" i="8"/>
  <c r="D16" i="8"/>
  <c r="G16" i="8"/>
  <c r="G16" i="4"/>
  <c r="K15" i="8" l="1"/>
  <c r="H16" i="8"/>
  <c r="J16" i="8" s="1"/>
  <c r="D17" i="8"/>
  <c r="B18" i="8"/>
  <c r="G17" i="8"/>
  <c r="I15" i="8"/>
  <c r="G17" i="4"/>
  <c r="K16" i="8" l="1"/>
  <c r="I16" i="8"/>
  <c r="H17" i="8"/>
  <c r="J17" i="8" s="1"/>
  <c r="D18" i="8"/>
  <c r="B19" i="8"/>
  <c r="G18" i="8"/>
  <c r="G18" i="4"/>
  <c r="K17" i="8" l="1"/>
  <c r="H18" i="8"/>
  <c r="J18" i="8" s="1"/>
  <c r="I17" i="8"/>
  <c r="D19" i="8"/>
  <c r="B20" i="8"/>
  <c r="G19" i="8"/>
  <c r="G19" i="4"/>
  <c r="K18" i="8" l="1"/>
  <c r="H19" i="8"/>
  <c r="J19" i="8" s="1"/>
  <c r="B21" i="8"/>
  <c r="D20" i="8"/>
  <c r="G20" i="8"/>
  <c r="D29" i="2"/>
  <c r="I18" i="8"/>
  <c r="G20" i="4"/>
  <c r="K19" i="8" l="1"/>
  <c r="I19" i="8"/>
  <c r="H20" i="8"/>
  <c r="J20" i="8" s="1"/>
  <c r="B22" i="8"/>
  <c r="D21" i="8"/>
  <c r="G21" i="8"/>
  <c r="G21" i="4"/>
  <c r="K20" i="8" l="1"/>
  <c r="I20" i="8"/>
  <c r="H21" i="8"/>
  <c r="J21" i="8" s="1"/>
  <c r="B23" i="8"/>
  <c r="D22" i="8"/>
  <c r="G22" i="8"/>
  <c r="G22" i="4"/>
  <c r="K21" i="8" l="1"/>
  <c r="I21" i="8"/>
  <c r="H22" i="8"/>
  <c r="B24" i="8"/>
  <c r="D23" i="8"/>
  <c r="G23" i="8"/>
  <c r="G23" i="4"/>
  <c r="H23" i="8" l="1"/>
  <c r="J23" i="8" s="1"/>
  <c r="B25" i="8"/>
  <c r="D24" i="8"/>
  <c r="G24" i="8"/>
  <c r="J22" i="8"/>
  <c r="K22" i="8" s="1"/>
  <c r="I22" i="8"/>
  <c r="G24" i="4"/>
  <c r="K23" i="8" l="1"/>
  <c r="H24" i="8"/>
  <c r="J24" i="8" s="1"/>
  <c r="E29" i="2"/>
  <c r="I23" i="8"/>
  <c r="B26" i="8"/>
  <c r="D25" i="8"/>
  <c r="G25" i="8"/>
  <c r="G25" i="4"/>
  <c r="K24" i="8" l="1"/>
  <c r="H25" i="8"/>
  <c r="J25" i="8" s="1"/>
  <c r="I24" i="8"/>
  <c r="B27" i="8"/>
  <c r="D26" i="8"/>
  <c r="G26" i="8"/>
  <c r="G26" i="4"/>
  <c r="K25" i="8" l="1"/>
  <c r="I25" i="8"/>
  <c r="H26" i="8"/>
  <c r="J26" i="8" s="1"/>
  <c r="D27" i="8"/>
  <c r="B28" i="8"/>
  <c r="G27" i="8"/>
  <c r="G27" i="4"/>
  <c r="K26" i="8" l="1"/>
  <c r="I26" i="8"/>
  <c r="B29" i="8"/>
  <c r="D28" i="8"/>
  <c r="G28" i="8"/>
  <c r="H27" i="8"/>
  <c r="J27" i="8" s="1"/>
  <c r="G28" i="4"/>
  <c r="K27" i="8" l="1"/>
  <c r="I27" i="8"/>
  <c r="H28" i="8"/>
  <c r="J28" i="8" s="1"/>
  <c r="D29" i="8"/>
  <c r="B30" i="8"/>
  <c r="G29" i="8"/>
  <c r="G29" i="4"/>
  <c r="K28" i="8" l="1"/>
  <c r="H29" i="8"/>
  <c r="J29" i="8" s="1"/>
  <c r="B31" i="8"/>
  <c r="D30" i="8"/>
  <c r="G30" i="8"/>
  <c r="F29" i="2"/>
  <c r="I28" i="8"/>
  <c r="G30" i="4"/>
  <c r="K29" i="8" l="1"/>
  <c r="I29" i="8"/>
  <c r="H30" i="8"/>
  <c r="J30" i="8" s="1"/>
  <c r="B32" i="8"/>
  <c r="D31" i="8"/>
  <c r="G31" i="8"/>
  <c r="G31" i="4"/>
  <c r="K30" i="8" l="1"/>
  <c r="I30" i="8"/>
  <c r="H31" i="8"/>
  <c r="J31" i="8" s="1"/>
  <c r="B33" i="8"/>
  <c r="D32" i="8"/>
  <c r="G32" i="8"/>
  <c r="G32" i="4"/>
  <c r="K31" i="8" l="1"/>
  <c r="I31" i="8"/>
  <c r="H32" i="8"/>
  <c r="D33" i="8"/>
  <c r="B34" i="8"/>
  <c r="G33" i="8"/>
  <c r="G33" i="4"/>
  <c r="H33" i="8" l="1"/>
  <c r="J33" i="8" s="1"/>
  <c r="D34" i="8"/>
  <c r="B35" i="8"/>
  <c r="G34" i="8"/>
  <c r="J32" i="8"/>
  <c r="K32" i="8" s="1"/>
  <c r="I32" i="8"/>
  <c r="G34" i="4"/>
  <c r="G29" i="2" l="1"/>
  <c r="I33" i="8"/>
  <c r="H34" i="8"/>
  <c r="J34" i="8" s="1"/>
  <c r="B36" i="8"/>
  <c r="D35" i="8"/>
  <c r="G35" i="8"/>
  <c r="K33" i="8"/>
  <c r="G35" i="4"/>
  <c r="H35" i="8" l="1"/>
  <c r="J35" i="8" s="1"/>
  <c r="I34" i="8"/>
  <c r="D36" i="8"/>
  <c r="B37" i="8"/>
  <c r="G36" i="8"/>
  <c r="K34" i="8"/>
  <c r="G36" i="4"/>
  <c r="I35" i="8" l="1"/>
  <c r="K35" i="8"/>
  <c r="H36" i="8"/>
  <c r="J36" i="8" s="1"/>
  <c r="D37" i="8"/>
  <c r="G37" i="8"/>
  <c r="G37" i="4"/>
  <c r="K36" i="8" l="1"/>
  <c r="I36" i="8"/>
  <c r="H37" i="8"/>
  <c r="J37" i="8" s="1"/>
  <c r="G38" i="4"/>
  <c r="G39" i="4"/>
  <c r="F40" i="4"/>
  <c r="K37" i="8" l="1"/>
  <c r="I37" i="8"/>
  <c r="H29" i="2" s="1"/>
  <c r="G40" i="4"/>
</calcChain>
</file>

<file path=xl/sharedStrings.xml><?xml version="1.0" encoding="utf-8"?>
<sst xmlns="http://schemas.openxmlformats.org/spreadsheetml/2006/main" count="168" uniqueCount="134">
  <si>
    <t>Xcel Bill w/ no solar (avg use kW hr per m)</t>
  </si>
  <si>
    <t>PAY AS YOU GO</t>
  </si>
  <si>
    <t>Annual Elecrical Expenditure based on</t>
  </si>
  <si>
    <t>per kWh</t>
  </si>
  <si>
    <t>What is the rate of escalation offered to subscribers by the CSG?</t>
  </si>
  <si>
    <t>per year</t>
  </si>
  <si>
    <t>Xcel Assumed Escalation Rate</t>
  </si>
  <si>
    <t xml:space="preserve">CSG Escalation Rate Offered </t>
  </si>
  <si>
    <t>Resulting Escalation Rate Tested</t>
  </si>
  <si>
    <t>Initial Applicable Retail Rate</t>
  </si>
  <si>
    <t>Annual REC Payment</t>
  </si>
  <si>
    <t>How will a community solar subscription work out for you financially?</t>
  </si>
  <si>
    <t>Model Electrical Rate Escalation Pattern and Impact on Bill in Xcel Energy Territory</t>
  </si>
  <si>
    <t>Units</t>
  </si>
  <si>
    <t>Graph: Electricity Rates Over 25 Years Based on Subscriber Input Values</t>
  </si>
  <si>
    <r>
      <t>** Starting Bill Credit rate ($/kWh) is determined by the billing rate listed on the bill for each premise
(</t>
    </r>
    <r>
      <rPr>
        <u/>
        <sz val="11"/>
        <color theme="3"/>
        <rFont val="Calibri"/>
        <family val="2"/>
        <scheme val="minor"/>
      </rPr>
      <t>click here for a full list of eligible billing rates</t>
    </r>
    <r>
      <rPr>
        <sz val="11"/>
        <rFont val="Calibri"/>
        <family val="2"/>
        <scheme val="minor"/>
      </rPr>
      <t>)</t>
    </r>
  </si>
  <si>
    <t>residential customer class</t>
  </si>
  <si>
    <t>small general service customer class</t>
  </si>
  <si>
    <t>demand metered customer class</t>
  </si>
  <si>
    <t>*** REC Payment Rate Options are determined by garden size</t>
  </si>
  <si>
    <t>No REC</t>
  </si>
  <si>
    <t>&gt;250 kW gardens</t>
  </si>
  <si>
    <t>≤ 250 kW gardens</t>
  </si>
  <si>
    <t>Values (edit)</t>
  </si>
  <si>
    <t>Year 5
$ per month</t>
  </si>
  <si>
    <t>Year 10
$ per month</t>
  </si>
  <si>
    <t>Year 15
$ per month</t>
  </si>
  <si>
    <t>Year 20
$ per month</t>
  </si>
  <si>
    <t>Year 25
$ per month</t>
  </si>
  <si>
    <r>
      <t xml:space="preserve">What is the payment rate on Renewable Energy Credits (REC) for your CSG?
</t>
    </r>
    <r>
      <rPr>
        <i/>
        <sz val="11"/>
        <color theme="1"/>
        <rFont val="Calibri"/>
        <family val="2"/>
        <scheme val="minor"/>
      </rPr>
      <t>($.02 for gardens &gt; 250 kW) or ($.03 for gardens &lt; or = to 250 kW)</t>
    </r>
  </si>
  <si>
    <t>kWh</t>
  </si>
  <si>
    <t>watts</t>
  </si>
  <si>
    <t>Approximate number of panels needed for your desired subscription size.</t>
  </si>
  <si>
    <t>panels</t>
  </si>
  <si>
    <t>Value</t>
  </si>
  <si>
    <t>Unit</t>
  </si>
  <si>
    <t>Notes</t>
  </si>
  <si>
    <t>Average utility use (per Month)</t>
  </si>
  <si>
    <t>converted to watt hours per month</t>
  </si>
  <si>
    <t>watt hours</t>
  </si>
  <si>
    <t>converted to watt hours/ day</t>
  </si>
  <si>
    <t>watt hours-day</t>
  </si>
  <si>
    <t>The solar radiation value used to rate panels is 1 kW/m2 and thus the results are in watts.</t>
  </si>
  <si>
    <t>De-rate (0.77)</t>
  </si>
  <si>
    <t>Derate Factor = 0.77 (NREL)</t>
  </si>
  <si>
    <t>convert back to kWh</t>
  </si>
  <si>
    <t>kW</t>
  </si>
  <si>
    <t>x1000</t>
  </si>
  <si>
    <t>div 30</t>
  </si>
  <si>
    <t>div 4.4</t>
  </si>
  <si>
    <t>div 0.77</t>
  </si>
  <si>
    <t>div 1000</t>
  </si>
  <si>
    <t>Subscription Sizing Calculations</t>
  </si>
  <si>
    <t>What is the ballpark size of the panel being used by the garden developer?</t>
  </si>
  <si>
    <t>panel sizes</t>
  </si>
  <si>
    <t>Divide solar watt hours/day by average insolation</t>
  </si>
  <si>
    <t>watts/panel</t>
  </si>
  <si>
    <t>What is the Solar Subscription Rate offered to subscribers by the CSG?</t>
  </si>
  <si>
    <t>CSG Solar Subscription Rate Offered</t>
  </si>
  <si>
    <t>kWh /year</t>
  </si>
  <si>
    <t>What your desired subscription in kilowatt-hours (kWh) per year?</t>
  </si>
  <si>
    <t>Based on your yearly kWh value above, this is roughly the subscription size you will need to cover that level of electricity usage.</t>
  </si>
  <si>
    <t>Subscription in Yearly Use in Kw Hrs</t>
  </si>
  <si>
    <t>Savings after 5 years</t>
  </si>
  <si>
    <t>Savings after 10 years</t>
  </si>
  <si>
    <t>Savings after 15 years</t>
  </si>
  <si>
    <t>Savings after 20 years</t>
  </si>
  <si>
    <t>Savings after 25 years</t>
  </si>
  <si>
    <t>Name:</t>
  </si>
  <si>
    <t>Subscription Terms</t>
  </si>
  <si>
    <t>Starting rate paid to developer ($/kWh)</t>
  </si>
  <si>
    <t>Find in subscription agreement</t>
  </si>
  <si>
    <t>Starting Bill Credit rate ($/kWh)</t>
  </si>
  <si>
    <t>Determined by premise type (see footnotes on Welcome tab)</t>
  </si>
  <si>
    <t>REC Payment ($/kWh)</t>
  </si>
  <si>
    <t>See footnotes on Welcome tab</t>
  </si>
  <si>
    <t>Subscription payment escalator</t>
  </si>
  <si>
    <t>Find in subscription agreement (if there is an escalator)</t>
  </si>
  <si>
    <t>Panel degradation factor</t>
  </si>
  <si>
    <t>Industry Standard is .5%</t>
  </si>
  <si>
    <t>Expected annual electricity price increase</t>
  </si>
  <si>
    <t>This affects the bill credit rate over time</t>
  </si>
  <si>
    <t>Discount Rate</t>
  </si>
  <si>
    <t>Ask your Finance Director what rate to use here (Met Council uses 4%)</t>
  </si>
  <si>
    <t>Year</t>
  </si>
  <si>
    <t>Expected Annual Production (kWh)</t>
  </si>
  <si>
    <t>Subscription Rate ($/kWh)</t>
  </si>
  <si>
    <t>Paid to Developer Annually</t>
  </si>
  <si>
    <t>Bill Credit Rate</t>
  </si>
  <si>
    <t>Bill Credit Rate w/ RECs</t>
  </si>
  <si>
    <t>Received in Bill Credits Annually</t>
  </si>
  <si>
    <t>Annual Savings (Simple)</t>
  </si>
  <si>
    <t>Cumulative Savings (Simple)</t>
  </si>
  <si>
    <t>Annual Savings (NPV)</t>
  </si>
  <si>
    <t>Cumulative Savings (NPV)</t>
  </si>
  <si>
    <t>Desired Subscription Size (kWh annually)</t>
  </si>
  <si>
    <t>BILL CREDIT RATE (Historic Utility Rate % Change)</t>
  </si>
  <si>
    <r>
      <t xml:space="preserve">Based on your subscription amount and assumptions of future electricity prices, your MONTHLY financial savings or </t>
    </r>
    <r>
      <rPr>
        <sz val="12"/>
        <color rgb="FFC00000"/>
        <rFont val="Calibri"/>
        <family val="2"/>
        <scheme val="minor"/>
      </rPr>
      <t>costs</t>
    </r>
    <r>
      <rPr>
        <sz val="12"/>
        <rFont val="Calibri"/>
        <family val="2"/>
        <scheme val="minor"/>
      </rPr>
      <t xml:space="preserve"> as a result of your subscription are below.</t>
    </r>
  </si>
  <si>
    <r>
      <t xml:space="preserve">Based on your subscription amount and assumptions of future electricity prices, your CUMULATIVE financial savings or </t>
    </r>
    <r>
      <rPr>
        <sz val="12"/>
        <color rgb="FFC00000"/>
        <rFont val="Calibri"/>
        <family val="2"/>
        <scheme val="minor"/>
      </rPr>
      <t>costs</t>
    </r>
    <r>
      <rPr>
        <sz val="12"/>
        <rFont val="Calibri"/>
        <family val="2"/>
        <scheme val="minor"/>
      </rPr>
      <t xml:space="preserve"> as a result of your subscription are below.</t>
    </r>
  </si>
  <si>
    <r>
      <t xml:space="preserve">This is the </t>
    </r>
    <r>
      <rPr>
        <b/>
        <i/>
        <sz val="11"/>
        <color theme="1"/>
        <rFont val="Calibri"/>
        <family val="2"/>
        <scheme val="minor"/>
      </rPr>
      <t>monthly</t>
    </r>
    <r>
      <rPr>
        <b/>
        <sz val="11"/>
        <color theme="1"/>
        <rFont val="Calibri"/>
        <family val="2"/>
        <scheme val="minor"/>
      </rPr>
      <t xml:space="preserve"> difference between your  bill credit and your payment to the developer.</t>
    </r>
  </si>
  <si>
    <r>
      <t xml:space="preserve">This is the </t>
    </r>
    <r>
      <rPr>
        <b/>
        <i/>
        <sz val="11"/>
        <color theme="1"/>
        <rFont val="Calibri"/>
        <family val="2"/>
        <scheme val="minor"/>
      </rPr>
      <t>cumulative</t>
    </r>
    <r>
      <rPr>
        <b/>
        <sz val="11"/>
        <color theme="1"/>
        <rFont val="Calibri"/>
        <family val="2"/>
        <scheme val="minor"/>
      </rPr>
      <t xml:space="preserve"> difference between your bill credits and your payments to the developer.</t>
    </r>
  </si>
  <si>
    <t>SUBSCRIPTION RATE ($/kWh)</t>
  </si>
  <si>
    <t>BILL CREDIT RATE ($/kWh)</t>
  </si>
  <si>
    <t>Residential Service  ($/kWh)</t>
  </si>
  <si>
    <t>Small General Service  ($/kWh)</t>
  </si>
  <si>
    <t>General Service  ($/kWh)</t>
  </si>
  <si>
    <t>Standard ARR (Applicable Retail Rate)</t>
  </si>
  <si>
    <t>Value of Solar</t>
  </si>
  <si>
    <t>Enhanced ARR for gardens &gt; 250 kW (+ $.02)</t>
  </si>
  <si>
    <t>Enhanced ARR for gardens ≤ 250 kW (+ $.03)</t>
  </si>
  <si>
    <t>Renewable Energy Credit Ownership</t>
  </si>
  <si>
    <t>Customer owns</t>
  </si>
  <si>
    <t>Xcel owns</t>
  </si>
  <si>
    <t xml:space="preserve">2017 Bill Credit Rates </t>
  </si>
  <si>
    <r>
      <t>YOUR prediction of the average annual increase in the cost of electricity over the next 25 years (</t>
    </r>
    <r>
      <rPr>
        <i/>
        <sz val="11"/>
        <color theme="1"/>
        <rFont val="Calibri"/>
        <family val="2"/>
        <scheme val="minor"/>
      </rPr>
      <t>HINT: The average annual escalation of electric rates for Xcel Energy from 2000-2014 was 3.5%</t>
    </r>
    <r>
      <rPr>
        <sz val="11"/>
        <color theme="1"/>
        <rFont val="Calibri"/>
        <family val="2"/>
        <scheme val="minor"/>
      </rPr>
      <t>)</t>
    </r>
  </si>
  <si>
    <t>BOX 1: Subscriber Inputs and Hints (click on text below to learn more)</t>
  </si>
  <si>
    <t>BOX 2: Approximate size of community solar subscription</t>
  </si>
  <si>
    <t>BOX 3: Monthly Advantage or Disadvantage over 25 Years</t>
  </si>
  <si>
    <t>BOX 4: Cumulative Savings over 25 Years</t>
  </si>
  <si>
    <r>
      <rPr>
        <b/>
        <sz val="11"/>
        <color theme="1"/>
        <rFont val="Calibri"/>
        <family val="2"/>
        <scheme val="minor"/>
      </rPr>
      <t xml:space="preserve">Overview: </t>
    </r>
    <r>
      <rPr>
        <sz val="11"/>
        <color theme="1"/>
        <rFont val="Calibri"/>
        <family val="2"/>
        <scheme val="minor"/>
      </rPr>
      <t xml:space="preserve">If you are considering a subscription in a Community Solar Garden (CSG), you can enter a few assumptions in Box 1 below to help you understand how that subscription will play out financially over the next 25 years.
</t>
    </r>
    <r>
      <rPr>
        <b/>
        <sz val="11"/>
        <color theme="1"/>
        <rFont val="Calibri"/>
        <family val="2"/>
        <scheme val="minor"/>
      </rPr>
      <t xml:space="preserve">Understanding Scenarios: </t>
    </r>
    <r>
      <rPr>
        <sz val="11"/>
        <color theme="1"/>
        <rFont val="Calibri"/>
        <family val="2"/>
        <scheme val="minor"/>
      </rPr>
      <t xml:space="preserve">No one knows </t>
    </r>
    <r>
      <rPr>
        <i/>
        <sz val="11"/>
        <color theme="1"/>
        <rFont val="Calibri"/>
        <family val="2"/>
        <scheme val="minor"/>
      </rPr>
      <t>for sure</t>
    </r>
    <r>
      <rPr>
        <sz val="11"/>
        <color theme="1"/>
        <rFont val="Calibri"/>
        <family val="2"/>
        <scheme val="minor"/>
      </rPr>
      <t xml:space="preserve"> how electricity prices will change over the next 25 years. Many factors including generation technologies, infrastructure upgrades, and public policy may affect the rates. Nevertheless, a CSG subscription offers you an opportunity to support solar development and save money. Based on the amount of power in your subscription and your assumptions about future electricity prices, this decision tool will help you estimate the potential financial advantage or disadvantage of your participation in a solar garden.</t>
    </r>
  </si>
  <si>
    <t xml:space="preserve">2018 Bill Credit Rates </t>
  </si>
  <si>
    <t>next sheet</t>
  </si>
  <si>
    <t xml:space="preserve">2019 Bill Credit Rates </t>
  </si>
  <si>
    <r>
      <t>MONTHLY Advantage or</t>
    </r>
    <r>
      <rPr>
        <b/>
        <sz val="12"/>
        <color rgb="FFFF0000"/>
        <rFont val="Calibri"/>
        <family val="2"/>
        <scheme val="minor"/>
      </rPr>
      <t xml:space="preserve"> (Disadvantage)</t>
    </r>
    <r>
      <rPr>
        <b/>
        <sz val="12"/>
        <color theme="1"/>
        <rFont val="Calibri"/>
        <family val="2"/>
        <scheme val="minor"/>
      </rPr>
      <t xml:space="preserve"> to Subscription</t>
    </r>
  </si>
  <si>
    <t xml:space="preserve">Note - these values in Column E have NOTHING to do with what you pay for your energy costs. It's simply the different between what your subscription costs and what your bill credit is. </t>
  </si>
  <si>
    <t>Residential Service</t>
  </si>
  <si>
    <t>Small General Service</t>
  </si>
  <si>
    <t>General Service</t>
  </si>
  <si>
    <t>vintage year</t>
  </si>
  <si>
    <r>
      <t xml:space="preserve">What customer class are you?
</t>
    </r>
    <r>
      <rPr>
        <i/>
        <sz val="11"/>
        <color theme="1"/>
        <rFont val="Calibri"/>
        <family val="2"/>
        <scheme val="minor"/>
      </rPr>
      <t>(residential, small general, general)</t>
    </r>
  </si>
  <si>
    <r>
      <t xml:space="preserve">Applicable Retail Rate (ARR) paid per kWh at the start of your contract.
</t>
    </r>
    <r>
      <rPr>
        <i/>
        <sz val="11"/>
        <color theme="1"/>
        <rFont val="Calibri"/>
        <family val="2"/>
        <scheme val="minor"/>
      </rPr>
      <t>(auto-populated basaed on answers to 2 and 3)</t>
    </r>
  </si>
  <si>
    <t>https://www.xcelenergy.com/staticfiles/xe-responsive/Working%20With%20Us/Renewable%20Developers/MN-SRC-Rate-Information-Sheet.pdf</t>
  </si>
  <si>
    <t>Fixed Rate 1</t>
  </si>
  <si>
    <r>
      <t xml:space="preserve">What bill credit year is the base year for your subscription?
</t>
    </r>
    <r>
      <rPr>
        <i/>
        <sz val="11"/>
        <color theme="1"/>
        <rFont val="Calibri"/>
        <family val="2"/>
        <scheme val="minor"/>
      </rPr>
      <t>(2017, 2018, 2019 or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</si>
</sst>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0.000"/>
    <numFmt numFmtId="166" formatCode="0.000000"/>
    <numFmt numFmtId="167" formatCode="_(* #,##0_);_(* \(#,##0\);_(* &quot;-&quot;??_);_(@_)"/>
    <numFmt numFmtId="168" formatCode="0.00000"/>
    <numFmt numFmtId="169" formatCode="_(&quot;$&quot;* #,##0.00000_);_(&quot;$&quot;* \(#,##0.00000\);_(&quot;$&quot;* &quot;-&quot;??_);_(@_)"/>
    <numFmt numFmtId="170" formatCode="0.0"/>
    <numFmt numFmtId="171" formatCode="0.0000"/>
    <numFmt numFmtId="172" formatCode="[$$-409]#,##0.00_);\([$$-409]#,##0.00\)"/>
    <numFmt numFmtId="173" formatCode="&quot;$&quot;#,##0.0000"/>
    <numFmt numFmtId="174" formatCode="&quot;$&quot;#,##0.00000"/>
    <numFmt numFmtId="175" formatCode="0.000%"/>
    <numFmt numFmtId="176" formatCode="&quot;$&quot;#,##0.000"/>
    <numFmt numFmtId="177" formatCode="&quot;$&quot;#,##0"/>
    <numFmt numFmtId="178" formatCode="&quot;$&quot;#,##0.00000_);[Red]\(&quot;$&quot;#,##0.00000\)"/>
  </numFmts>
  <fonts count="24" x14ac:knownFonts="1">
    <font>
      <sz val="11"/>
      <color theme="1"/>
      <name val="Calibri"/>
      <family val="2"/>
      <scheme val="minor"/>
    </font>
    <font>
      <b/>
      <sz val="11"/>
      <color theme="1"/>
      <name val="Calibri"/>
      <family val="2"/>
      <scheme val="minor"/>
    </font>
    <font>
      <b/>
      <sz val="10"/>
      <color theme="1"/>
      <name val="Calibri"/>
      <family val="2"/>
      <scheme val="minor"/>
    </font>
    <font>
      <sz val="11"/>
      <color theme="1"/>
      <name val="Calibri"/>
      <family val="2"/>
      <scheme val="minor"/>
    </font>
    <font>
      <b/>
      <sz val="22"/>
      <color theme="1"/>
      <name val="Calibri"/>
      <family val="2"/>
      <scheme val="minor"/>
    </font>
    <font>
      <b/>
      <sz val="26"/>
      <color theme="1"/>
      <name val="Calibri"/>
      <family val="2"/>
      <scheme val="minor"/>
    </font>
    <font>
      <b/>
      <sz val="14"/>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b/>
      <sz val="12"/>
      <color rgb="FFFF0000"/>
      <name val="Calibri"/>
      <family val="2"/>
      <scheme val="minor"/>
    </font>
    <font>
      <b/>
      <sz val="12"/>
      <color theme="0"/>
      <name val="Calibri"/>
      <family val="2"/>
      <scheme val="minor"/>
    </font>
    <font>
      <b/>
      <i/>
      <sz val="14"/>
      <color theme="1"/>
      <name val="Calibri"/>
      <family val="2"/>
      <scheme val="minor"/>
    </font>
    <font>
      <i/>
      <sz val="11"/>
      <color theme="1"/>
      <name val="Calibri"/>
      <family val="2"/>
      <scheme val="minor"/>
    </font>
    <font>
      <sz val="12"/>
      <name val="Calibri"/>
      <family val="2"/>
      <scheme val="minor"/>
    </font>
    <font>
      <sz val="12"/>
      <color rgb="FFC00000"/>
      <name val="Calibri"/>
      <family val="2"/>
      <scheme val="minor"/>
    </font>
    <font>
      <u/>
      <sz val="11"/>
      <color theme="10"/>
      <name val="Calibri"/>
      <family val="2"/>
      <scheme val="minor"/>
    </font>
    <font>
      <sz val="11"/>
      <name val="Calibri"/>
      <family val="2"/>
      <scheme val="minor"/>
    </font>
    <font>
      <u/>
      <sz val="11"/>
      <color theme="3"/>
      <name val="Calibri"/>
      <family val="2"/>
      <scheme val="minor"/>
    </font>
    <font>
      <b/>
      <sz val="16"/>
      <color theme="0"/>
      <name val="Calibri"/>
      <family val="2"/>
      <scheme val="minor"/>
    </font>
    <font>
      <sz val="16"/>
      <color theme="0"/>
      <name val="Calibri"/>
      <family val="2"/>
      <scheme val="minor"/>
    </font>
    <font>
      <sz val="16"/>
      <color theme="1"/>
      <name val="Calibri"/>
      <family val="2"/>
      <scheme val="minor"/>
    </font>
    <font>
      <sz val="11"/>
      <color rgb="FF000000"/>
      <name val="Calibri"/>
      <family val="2"/>
      <scheme val="minor"/>
    </font>
    <font>
      <b/>
      <i/>
      <sz val="11"/>
      <color theme="1"/>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rgb="FF99FF99"/>
        <bgColor indexed="64"/>
      </patternFill>
    </fill>
    <fill>
      <patternFill patternType="solid">
        <fgColor rgb="FFFFFF00"/>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rgb="FFF3C3EA"/>
        <bgColor indexed="64"/>
      </patternFill>
    </fill>
    <fill>
      <patternFill patternType="solid">
        <fgColor rgb="FFFF7C80"/>
        <bgColor indexed="64"/>
      </patternFill>
    </fill>
    <fill>
      <patternFill patternType="solid">
        <fgColor theme="6" tint="0.39997558519241921"/>
        <bgColor indexed="64"/>
      </patternFill>
    </fill>
    <fill>
      <patternFill patternType="solid">
        <fgColor rgb="FF005397"/>
        <bgColor indexed="64"/>
      </patternFill>
    </fill>
    <fill>
      <patternFill patternType="solid">
        <fgColor rgb="FFE4B53A"/>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rgb="FF76A24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auto="1"/>
      </right>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s>
  <cellStyleXfs count="5">
    <xf numFmtId="0" fontId="0" fillId="0" borderId="0"/>
    <xf numFmtId="44" fontId="3" fillId="0" borderId="0" applyFont="0" applyFill="0" applyBorder="0" applyAlignment="0" applyProtection="0"/>
    <xf numFmtId="43" fontId="3" fillId="0" borderId="0" applyFont="0" applyFill="0" applyBorder="0" applyAlignment="0" applyProtection="0"/>
    <xf numFmtId="0" fontId="16" fillId="0" borderId="0" applyNumberFormat="0" applyFill="0" applyBorder="0" applyAlignment="0" applyProtection="0"/>
    <xf numFmtId="9" fontId="3" fillId="0" borderId="0" applyFont="0" applyFill="0" applyBorder="0" applyAlignment="0" applyProtection="0"/>
  </cellStyleXfs>
  <cellXfs count="230">
    <xf numFmtId="0" fontId="0" fillId="0" borderId="0" xfId="0"/>
    <xf numFmtId="0" fontId="1" fillId="2" borderId="0" xfId="0" applyFont="1" applyFill="1"/>
    <xf numFmtId="0" fontId="1" fillId="2" borderId="0" xfId="0" applyFont="1" applyFill="1" applyAlignment="1">
      <alignment wrapText="1"/>
    </xf>
    <xf numFmtId="164" fontId="0" fillId="0" borderId="0" xfId="0" applyNumberFormat="1"/>
    <xf numFmtId="3" fontId="0" fillId="0" borderId="0" xfId="0" applyNumberFormat="1"/>
    <xf numFmtId="0" fontId="0" fillId="2" borderId="0" xfId="0" applyFill="1"/>
    <xf numFmtId="0" fontId="0" fillId="0" borderId="0" xfId="0" applyFill="1"/>
    <xf numFmtId="0" fontId="1" fillId="0" borderId="0" xfId="0" applyFont="1" applyFill="1" applyAlignment="1">
      <alignment wrapText="1"/>
    </xf>
    <xf numFmtId="0" fontId="0" fillId="0" borderId="0" xfId="0" applyFont="1" applyFill="1" applyAlignment="1">
      <alignment wrapText="1"/>
    </xf>
    <xf numFmtId="0" fontId="0" fillId="0" borderId="0" xfId="0" applyFont="1" applyFill="1" applyAlignment="1"/>
    <xf numFmtId="0" fontId="1" fillId="0" borderId="0" xfId="0" applyFont="1" applyFill="1" applyAlignment="1">
      <alignment horizontal="center" wrapText="1"/>
    </xf>
    <xf numFmtId="44" fontId="0" fillId="8" borderId="0" xfId="1" applyNumberFormat="1" applyFont="1" applyFill="1"/>
    <xf numFmtId="0" fontId="1" fillId="9" borderId="0" xfId="0" applyFont="1" applyFill="1" applyAlignment="1">
      <alignment wrapText="1"/>
    </xf>
    <xf numFmtId="0" fontId="1" fillId="10" borderId="0" xfId="0" applyFont="1" applyFill="1" applyAlignment="1">
      <alignment wrapText="1"/>
    </xf>
    <xf numFmtId="4" fontId="0" fillId="10" borderId="0" xfId="0" applyNumberFormat="1" applyFill="1"/>
    <xf numFmtId="4" fontId="0" fillId="10" borderId="0" xfId="0" applyNumberFormat="1" applyFill="1" applyBorder="1"/>
    <xf numFmtId="0" fontId="0" fillId="9" borderId="0" xfId="0" applyFill="1"/>
    <xf numFmtId="0" fontId="5" fillId="9" borderId="6" xfId="0" applyFont="1" applyFill="1" applyBorder="1" applyAlignment="1">
      <alignment wrapText="1"/>
    </xf>
    <xf numFmtId="167" fontId="1" fillId="0" borderId="0" xfId="2" applyNumberFormat="1" applyFont="1" applyFill="1" applyAlignment="1">
      <alignment wrapText="1"/>
    </xf>
    <xf numFmtId="0" fontId="1" fillId="9" borderId="0" xfId="0" applyFont="1" applyFill="1"/>
    <xf numFmtId="0" fontId="1" fillId="9" borderId="2" xfId="0" applyFont="1" applyFill="1" applyBorder="1"/>
    <xf numFmtId="0" fontId="2" fillId="9" borderId="0" xfId="0" applyFont="1" applyFill="1"/>
    <xf numFmtId="0" fontId="1" fillId="9" borderId="1" xfId="0" applyFont="1" applyFill="1" applyBorder="1"/>
    <xf numFmtId="0" fontId="1" fillId="9" borderId="3" xfId="0" applyFont="1" applyFill="1" applyBorder="1"/>
    <xf numFmtId="44" fontId="1" fillId="9" borderId="4" xfId="1" applyFont="1" applyFill="1" applyBorder="1"/>
    <xf numFmtId="10" fontId="0" fillId="9" borderId="0" xfId="0" applyNumberFormat="1" applyFill="1"/>
    <xf numFmtId="164" fontId="0" fillId="9" borderId="0" xfId="0" applyNumberFormat="1" applyFill="1"/>
    <xf numFmtId="0" fontId="1" fillId="9" borderId="0" xfId="0" applyFont="1" applyFill="1" applyAlignment="1">
      <alignment horizontal="center" wrapText="1"/>
    </xf>
    <xf numFmtId="0" fontId="0" fillId="9" borderId="0" xfId="0" applyFont="1" applyFill="1" applyAlignment="1">
      <alignment wrapText="1"/>
    </xf>
    <xf numFmtId="0" fontId="0" fillId="9" borderId="0" xfId="0" applyFont="1" applyFill="1" applyAlignment="1"/>
    <xf numFmtId="0" fontId="0" fillId="9" borderId="0" xfId="0" applyFont="1" applyFill="1" applyAlignment="1">
      <alignment horizontal="center" wrapText="1"/>
    </xf>
    <xf numFmtId="3" fontId="0" fillId="9" borderId="0" xfId="0" applyNumberFormat="1" applyFill="1" applyAlignment="1">
      <alignment horizontal="center"/>
    </xf>
    <xf numFmtId="165" fontId="0" fillId="9" borderId="0" xfId="0" applyNumberFormat="1" applyFill="1" applyAlignment="1">
      <alignment horizontal="center"/>
    </xf>
    <xf numFmtId="0" fontId="0" fillId="9" borderId="0" xfId="0" applyFill="1" applyAlignment="1">
      <alignment horizontal="center"/>
    </xf>
    <xf numFmtId="166" fontId="0" fillId="9" borderId="0" xfId="0" applyNumberFormat="1" applyFill="1"/>
    <xf numFmtId="4" fontId="0" fillId="9" borderId="0" xfId="0" applyNumberFormat="1" applyFill="1"/>
    <xf numFmtId="3" fontId="0" fillId="9" borderId="0" xfId="0" applyNumberFormat="1" applyFill="1"/>
    <xf numFmtId="0" fontId="1" fillId="9" borderId="0" xfId="0" applyFont="1" applyFill="1" applyBorder="1"/>
    <xf numFmtId="0" fontId="0" fillId="9" borderId="0" xfId="0" applyFill="1" applyBorder="1"/>
    <xf numFmtId="0" fontId="2" fillId="9" borderId="0" xfId="0" applyFont="1" applyFill="1" applyBorder="1"/>
    <xf numFmtId="9" fontId="0" fillId="9" borderId="0" xfId="0" applyNumberFormat="1" applyFill="1" applyBorder="1"/>
    <xf numFmtId="0" fontId="5" fillId="9" borderId="0" xfId="0" applyFont="1" applyFill="1" applyBorder="1" applyAlignment="1">
      <alignment wrapText="1"/>
    </xf>
    <xf numFmtId="164" fontId="0" fillId="9" borderId="0" xfId="0" applyNumberFormat="1" applyFill="1" applyBorder="1"/>
    <xf numFmtId="0" fontId="7" fillId="0" borderId="0" xfId="0" applyFont="1"/>
    <xf numFmtId="0" fontId="9" fillId="0" borderId="0" xfId="0" applyFont="1" applyFill="1"/>
    <xf numFmtId="0" fontId="9" fillId="2" borderId="0" xfId="0" applyFont="1" applyFill="1"/>
    <xf numFmtId="0" fontId="7" fillId="0" borderId="0" xfId="0" applyFont="1" applyFill="1"/>
    <xf numFmtId="0" fontId="9" fillId="0" borderId="0" xfId="0" applyFont="1" applyFill="1" applyAlignment="1">
      <alignment horizontal="center"/>
    </xf>
    <xf numFmtId="0" fontId="9" fillId="2" borderId="0" xfId="0" applyFont="1" applyFill="1" applyAlignment="1">
      <alignment wrapText="1"/>
    </xf>
    <xf numFmtId="0" fontId="9" fillId="3" borderId="0" xfId="0" applyFont="1" applyFill="1" applyAlignment="1">
      <alignment wrapText="1"/>
    </xf>
    <xf numFmtId="0" fontId="9" fillId="8" borderId="0" xfId="0" applyFont="1" applyFill="1" applyAlignment="1">
      <alignment wrapText="1"/>
    </xf>
    <xf numFmtId="0" fontId="9" fillId="0" borderId="0" xfId="0" applyFont="1" applyFill="1" applyAlignment="1">
      <alignment wrapText="1"/>
    </xf>
    <xf numFmtId="0" fontId="9" fillId="12" borderId="0" xfId="0" applyFont="1" applyFill="1" applyAlignment="1">
      <alignment wrapText="1"/>
    </xf>
    <xf numFmtId="0" fontId="9" fillId="7" borderId="0" xfId="0" applyFont="1" applyFill="1" applyAlignment="1">
      <alignment wrapText="1"/>
    </xf>
    <xf numFmtId="0" fontId="9" fillId="9" borderId="0" xfId="0" applyFont="1" applyFill="1" applyAlignment="1">
      <alignment wrapText="1"/>
    </xf>
    <xf numFmtId="0" fontId="9" fillId="0" borderId="0" xfId="0" applyFont="1" applyFill="1" applyAlignment="1">
      <alignment horizontal="center" wrapText="1"/>
    </xf>
    <xf numFmtId="0" fontId="9" fillId="9" borderId="6" xfId="0" applyFont="1" applyFill="1" applyBorder="1" applyAlignment="1">
      <alignment wrapText="1"/>
    </xf>
    <xf numFmtId="0" fontId="7" fillId="0" borderId="0" xfId="0" applyFont="1" applyAlignment="1">
      <alignment horizontal="center"/>
    </xf>
    <xf numFmtId="8" fontId="7" fillId="0" borderId="0" xfId="1" applyNumberFormat="1" applyFont="1" applyBorder="1"/>
    <xf numFmtId="4" fontId="7" fillId="0" borderId="0" xfId="0" applyNumberFormat="1" applyFont="1"/>
    <xf numFmtId="4" fontId="7" fillId="3" borderId="5" xfId="0" applyNumberFormat="1" applyFont="1" applyFill="1" applyBorder="1"/>
    <xf numFmtId="4" fontId="7" fillId="0" borderId="0" xfId="0" applyNumberFormat="1" applyFont="1" applyFill="1" applyBorder="1"/>
    <xf numFmtId="0" fontId="1" fillId="0" borderId="0" xfId="0" applyFont="1"/>
    <xf numFmtId="0" fontId="9" fillId="11" borderId="5" xfId="0" applyFont="1" applyFill="1" applyBorder="1"/>
    <xf numFmtId="0" fontId="9" fillId="7" borderId="5" xfId="0" applyFont="1" applyFill="1" applyBorder="1"/>
    <xf numFmtId="0" fontId="9" fillId="8" borderId="5" xfId="0" applyFont="1" applyFill="1" applyBorder="1"/>
    <xf numFmtId="168" fontId="7" fillId="0" borderId="13" xfId="0" applyNumberFormat="1" applyFont="1" applyBorder="1"/>
    <xf numFmtId="0" fontId="0" fillId="9" borderId="0" xfId="0" applyFill="1" applyProtection="1"/>
    <xf numFmtId="0" fontId="11" fillId="9" borderId="0" xfId="0" applyFont="1" applyFill="1" applyBorder="1" applyAlignment="1" applyProtection="1">
      <alignment vertical="center" wrapText="1"/>
    </xf>
    <xf numFmtId="0" fontId="0" fillId="9" borderId="0" xfId="0" applyFill="1" applyBorder="1" applyProtection="1"/>
    <xf numFmtId="0" fontId="0" fillId="9" borderId="0" xfId="0" applyFill="1" applyAlignment="1" applyProtection="1"/>
    <xf numFmtId="0" fontId="11" fillId="14" borderId="2" xfId="0" applyFont="1" applyFill="1" applyBorder="1" applyAlignment="1" applyProtection="1">
      <alignment horizontal="center" vertical="center"/>
    </xf>
    <xf numFmtId="0" fontId="11" fillId="14" borderId="1" xfId="0" applyFont="1" applyFill="1" applyBorder="1" applyAlignment="1" applyProtection="1">
      <alignment horizontal="center" vertical="center"/>
    </xf>
    <xf numFmtId="0" fontId="9" fillId="16" borderId="3" xfId="0" applyFont="1" applyFill="1" applyBorder="1" applyAlignment="1" applyProtection="1">
      <alignment horizontal="center" vertical="center"/>
    </xf>
    <xf numFmtId="0" fontId="9" fillId="16" borderId="1" xfId="0" applyFont="1" applyFill="1" applyBorder="1" applyAlignment="1" applyProtection="1">
      <alignment horizontal="center" vertical="center"/>
    </xf>
    <xf numFmtId="0" fontId="7" fillId="9" borderId="0" xfId="0" applyFont="1" applyFill="1" applyBorder="1" applyAlignment="1" applyProtection="1">
      <alignment vertical="center" wrapText="1"/>
    </xf>
    <xf numFmtId="0" fontId="0" fillId="0" borderId="0" xfId="0" applyFill="1" applyProtection="1"/>
    <xf numFmtId="0" fontId="11" fillId="0" borderId="0" xfId="0" applyFont="1" applyFill="1" applyBorder="1" applyAlignment="1" applyProtection="1">
      <alignment vertical="center" wrapText="1"/>
    </xf>
    <xf numFmtId="0" fontId="0" fillId="0" borderId="0" xfId="0" applyFill="1" applyBorder="1" applyProtection="1"/>
    <xf numFmtId="0" fontId="11" fillId="0" borderId="0" xfId="0" applyFont="1" applyFill="1" applyBorder="1" applyAlignment="1">
      <alignment vertical="center" wrapText="1"/>
    </xf>
    <xf numFmtId="169" fontId="0" fillId="9" borderId="3" xfId="1" applyNumberFormat="1" applyFont="1" applyFill="1" applyBorder="1" applyAlignment="1">
      <alignment vertical="center"/>
    </xf>
    <xf numFmtId="169" fontId="0" fillId="9" borderId="1" xfId="1" applyNumberFormat="1" applyFont="1" applyFill="1" applyBorder="1" applyAlignment="1">
      <alignment vertical="center"/>
    </xf>
    <xf numFmtId="169" fontId="0" fillId="9" borderId="29" xfId="1" applyNumberFormat="1" applyFont="1" applyFill="1" applyBorder="1" applyAlignment="1">
      <alignment vertical="center"/>
    </xf>
    <xf numFmtId="44" fontId="0" fillId="9" borderId="1" xfId="1" applyFont="1" applyFill="1" applyBorder="1" applyAlignment="1">
      <alignment vertical="center"/>
    </xf>
    <xf numFmtId="44" fontId="0" fillId="9" borderId="29" xfId="1" applyFont="1" applyFill="1" applyBorder="1" applyAlignment="1">
      <alignment vertical="center"/>
    </xf>
    <xf numFmtId="0" fontId="9" fillId="15" borderId="1" xfId="0" applyFont="1" applyFill="1" applyBorder="1" applyAlignment="1" applyProtection="1">
      <alignment horizontal="center" vertical="center" wrapText="1"/>
    </xf>
    <xf numFmtId="10" fontId="6" fillId="6" borderId="1" xfId="0" applyNumberFormat="1" applyFont="1" applyFill="1" applyBorder="1" applyAlignment="1" applyProtection="1">
      <alignment horizontal="right" vertical="center" indent="1"/>
      <protection locked="0"/>
    </xf>
    <xf numFmtId="10" fontId="6" fillId="7" borderId="1" xfId="0" applyNumberFormat="1" applyFont="1" applyFill="1" applyBorder="1" applyAlignment="1" applyProtection="1">
      <alignment horizontal="right" vertical="center" indent="1"/>
      <protection locked="0"/>
    </xf>
    <xf numFmtId="0" fontId="7" fillId="0" borderId="21" xfId="0" applyFont="1" applyBorder="1" applyAlignment="1" applyProtection="1">
      <alignment horizontal="left" vertical="center" indent="1"/>
    </xf>
    <xf numFmtId="0" fontId="7" fillId="0" borderId="24" xfId="0" applyFont="1" applyBorder="1" applyAlignment="1" applyProtection="1">
      <alignment horizontal="left" vertical="center" indent="1"/>
    </xf>
    <xf numFmtId="0" fontId="14" fillId="9" borderId="1" xfId="0" applyNumberFormat="1" applyFont="1" applyFill="1" applyBorder="1" applyAlignment="1" applyProtection="1">
      <alignment horizontal="left" vertical="center" wrapText="1" indent="1"/>
    </xf>
    <xf numFmtId="0" fontId="1" fillId="17" borderId="1" xfId="0" applyFont="1" applyFill="1" applyBorder="1"/>
    <xf numFmtId="0" fontId="13" fillId="17" borderId="1" xfId="0" applyFont="1" applyFill="1" applyBorder="1"/>
    <xf numFmtId="0" fontId="0" fillId="18" borderId="1" xfId="0" applyFill="1" applyBorder="1"/>
    <xf numFmtId="43" fontId="0" fillId="18" borderId="1" xfId="2" applyFont="1" applyFill="1" applyBorder="1"/>
    <xf numFmtId="0" fontId="13" fillId="16" borderId="1" xfId="0" applyFont="1" applyFill="1" applyBorder="1"/>
    <xf numFmtId="0" fontId="1" fillId="19" borderId="1" xfId="0" applyFont="1" applyFill="1" applyBorder="1"/>
    <xf numFmtId="43" fontId="1" fillId="19" borderId="1" xfId="2" applyFont="1" applyFill="1" applyBorder="1"/>
    <xf numFmtId="0" fontId="0" fillId="18" borderId="0" xfId="0" applyFill="1" applyBorder="1"/>
    <xf numFmtId="43" fontId="6" fillId="9" borderId="1" xfId="0" applyNumberFormat="1" applyFont="1" applyFill="1" applyBorder="1" applyAlignment="1" applyProtection="1">
      <alignment horizontal="right" vertical="center" indent="1"/>
    </xf>
    <xf numFmtId="0" fontId="6" fillId="9" borderId="1" xfId="0" applyNumberFormat="1" applyFont="1" applyFill="1" applyBorder="1" applyAlignment="1" applyProtection="1">
      <alignment horizontal="right" vertical="center" indent="1"/>
      <protection locked="0"/>
    </xf>
    <xf numFmtId="170" fontId="6" fillId="9" borderId="1" xfId="0" applyNumberFormat="1" applyFont="1" applyFill="1" applyBorder="1" applyAlignment="1" applyProtection="1">
      <alignment horizontal="right" vertical="center" indent="1"/>
    </xf>
    <xf numFmtId="171" fontId="9" fillId="8" borderId="5" xfId="0" applyNumberFormat="1" applyFont="1" applyFill="1" applyBorder="1"/>
    <xf numFmtId="171" fontId="9" fillId="5" borderId="5" xfId="0" applyNumberFormat="1" applyFont="1" applyFill="1" applyBorder="1"/>
    <xf numFmtId="168" fontId="7" fillId="13" borderId="7" xfId="0" applyNumberFormat="1" applyFont="1" applyFill="1" applyBorder="1"/>
    <xf numFmtId="168" fontId="7" fillId="13" borderId="0" xfId="0" applyNumberFormat="1" applyFont="1" applyFill="1" applyBorder="1"/>
    <xf numFmtId="8" fontId="0" fillId="9" borderId="32" xfId="1" applyNumberFormat="1" applyFont="1" applyFill="1" applyBorder="1" applyAlignment="1">
      <alignment vertical="center"/>
    </xf>
    <xf numFmtId="172" fontId="6" fillId="15" borderId="1" xfId="1" applyNumberFormat="1" applyFont="1" applyFill="1" applyBorder="1" applyAlignment="1" applyProtection="1">
      <alignment horizontal="right" vertical="center" indent="1"/>
      <protection locked="0"/>
    </xf>
    <xf numFmtId="173" fontId="6" fillId="6" borderId="1" xfId="1" applyNumberFormat="1" applyFont="1" applyFill="1" applyBorder="1" applyAlignment="1" applyProtection="1">
      <alignment horizontal="right" vertical="center" indent="1"/>
      <protection locked="0"/>
    </xf>
    <xf numFmtId="8" fontId="8" fillId="0" borderId="2" xfId="0" applyNumberFormat="1" applyFont="1" applyBorder="1" applyAlignment="1" applyProtection="1">
      <alignment horizontal="center" vertical="center"/>
    </xf>
    <xf numFmtId="0" fontId="7" fillId="9" borderId="0" xfId="0" applyFont="1" applyFill="1" applyBorder="1" applyAlignment="1" applyProtection="1">
      <alignment horizontal="center" vertical="center" wrapText="1"/>
    </xf>
    <xf numFmtId="0" fontId="7" fillId="9" borderId="16" xfId="0" applyFont="1" applyFill="1" applyBorder="1" applyAlignment="1" applyProtection="1">
      <alignment horizontal="center" vertical="center" wrapText="1"/>
    </xf>
    <xf numFmtId="8" fontId="8" fillId="9" borderId="16" xfId="0" applyNumberFormat="1" applyFont="1" applyFill="1" applyBorder="1" applyAlignment="1" applyProtection="1">
      <alignment horizontal="center" vertical="center"/>
    </xf>
    <xf numFmtId="0" fontId="19" fillId="20" borderId="22" xfId="0" applyFont="1" applyFill="1" applyBorder="1" applyAlignment="1">
      <alignment vertical="center"/>
    </xf>
    <xf numFmtId="9" fontId="20" fillId="20" borderId="23" xfId="0" applyNumberFormat="1" applyFont="1" applyFill="1" applyBorder="1" applyAlignment="1">
      <alignment vertical="center"/>
    </xf>
    <xf numFmtId="0" fontId="20" fillId="20" borderId="23" xfId="0" applyFont="1" applyFill="1" applyBorder="1" applyAlignment="1">
      <alignment vertical="center"/>
    </xf>
    <xf numFmtId="0" fontId="20" fillId="20" borderId="24" xfId="0" applyFont="1" applyFill="1" applyBorder="1" applyAlignment="1">
      <alignment vertical="center"/>
    </xf>
    <xf numFmtId="0" fontId="21" fillId="21" borderId="0" xfId="0" applyFont="1" applyFill="1" applyAlignment="1">
      <alignment vertical="center"/>
    </xf>
    <xf numFmtId="0" fontId="1" fillId="21" borderId="0" xfId="0" applyFont="1" applyFill="1"/>
    <xf numFmtId="0" fontId="0" fillId="21" borderId="0" xfId="0" applyFill="1"/>
    <xf numFmtId="167" fontId="0" fillId="16" borderId="3" xfId="2" applyNumberFormat="1" applyFont="1" applyFill="1" applyBorder="1" applyAlignment="1">
      <alignment vertical="center"/>
    </xf>
    <xf numFmtId="173" fontId="0" fillId="16" borderId="1" xfId="0" applyNumberFormat="1" applyFill="1" applyBorder="1"/>
    <xf numFmtId="169" fontId="22" fillId="22" borderId="0" xfId="1" applyNumberFormat="1" applyFont="1" applyFill="1"/>
    <xf numFmtId="164" fontId="0" fillId="16" borderId="1" xfId="0" applyNumberFormat="1" applyFill="1" applyBorder="1"/>
    <xf numFmtId="10" fontId="0" fillId="22" borderId="1" xfId="4" applyNumberFormat="1" applyFont="1" applyFill="1" applyBorder="1"/>
    <xf numFmtId="175" fontId="0" fillId="16" borderId="1" xfId="4" applyNumberFormat="1" applyFont="1" applyFill="1" applyBorder="1"/>
    <xf numFmtId="0" fontId="0" fillId="21" borderId="0" xfId="0" applyFill="1" applyBorder="1" applyAlignment="1"/>
    <xf numFmtId="0" fontId="0" fillId="21" borderId="0" xfId="0" applyFill="1" applyBorder="1"/>
    <xf numFmtId="0" fontId="1" fillId="16" borderId="1"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0" fillId="0" borderId="1" xfId="0" applyFill="1" applyBorder="1"/>
    <xf numFmtId="1" fontId="0" fillId="0" borderId="1" xfId="0" applyNumberFormat="1" applyFill="1" applyBorder="1"/>
    <xf numFmtId="176" fontId="0" fillId="0" borderId="1" xfId="0" applyNumberFormat="1" applyFill="1" applyBorder="1"/>
    <xf numFmtId="177" fontId="0" fillId="18" borderId="1" xfId="0" applyNumberFormat="1" applyFill="1" applyBorder="1"/>
    <xf numFmtId="174" fontId="0" fillId="0" borderId="1" xfId="0" applyNumberFormat="1" applyFill="1" applyBorder="1"/>
    <xf numFmtId="177" fontId="0" fillId="0" borderId="1" xfId="0" applyNumberFormat="1" applyFill="1" applyBorder="1"/>
    <xf numFmtId="177" fontId="0" fillId="4" borderId="1" xfId="0" applyNumberFormat="1" applyFill="1" applyBorder="1"/>
    <xf numFmtId="0" fontId="0" fillId="4" borderId="1" xfId="0" applyFill="1" applyBorder="1"/>
    <xf numFmtId="1" fontId="0" fillId="4" borderId="1" xfId="0" applyNumberFormat="1" applyFill="1" applyBorder="1"/>
    <xf numFmtId="176" fontId="0" fillId="4" borderId="1" xfId="0" applyNumberFormat="1" applyFill="1" applyBorder="1"/>
    <xf numFmtId="174" fontId="0" fillId="4" borderId="1" xfId="0" applyNumberFormat="1" applyFill="1" applyBorder="1"/>
    <xf numFmtId="6" fontId="8" fillId="0" borderId="1" xfId="0" applyNumberFormat="1" applyFont="1" applyBorder="1" applyAlignment="1" applyProtection="1">
      <alignment horizontal="center" vertical="center"/>
    </xf>
    <xf numFmtId="167" fontId="6" fillId="15" borderId="1" xfId="2" applyNumberFormat="1" applyFont="1" applyFill="1" applyBorder="1" applyAlignment="1" applyProtection="1">
      <alignment horizontal="right" vertical="center" indent="1"/>
      <protection locked="0"/>
    </xf>
    <xf numFmtId="0" fontId="0" fillId="0" borderId="1" xfId="0" applyBorder="1" applyAlignment="1">
      <alignment wrapText="1"/>
    </xf>
    <xf numFmtId="178" fontId="0" fillId="0" borderId="1" xfId="0" applyNumberFormat="1" applyBorder="1" applyAlignment="1">
      <alignment wrapText="1"/>
    </xf>
    <xf numFmtId="0" fontId="0" fillId="0" borderId="0" xfId="0" applyAlignment="1">
      <alignment wrapText="1"/>
    </xf>
    <xf numFmtId="0" fontId="0" fillId="0" borderId="1" xfId="0" applyFont="1" applyBorder="1" applyAlignment="1">
      <alignment wrapText="1"/>
    </xf>
    <xf numFmtId="0" fontId="0" fillId="0" borderId="1" xfId="0" applyBorder="1" applyAlignment="1">
      <alignment horizontal="center" wrapText="1"/>
    </xf>
    <xf numFmtId="8" fontId="0" fillId="0" borderId="1" xfId="0" applyNumberFormat="1" applyBorder="1" applyAlignment="1">
      <alignment horizontal="center" wrapText="1"/>
    </xf>
    <xf numFmtId="0" fontId="0" fillId="0" borderId="1" xfId="0" applyBorder="1" applyAlignment="1">
      <alignment wrapText="1"/>
    </xf>
    <xf numFmtId="171" fontId="9" fillId="5" borderId="0" xfId="0" applyNumberFormat="1" applyFont="1" applyFill="1" applyAlignment="1">
      <alignment wrapText="1"/>
    </xf>
    <xf numFmtId="0" fontId="1" fillId="0" borderId="0" xfId="0" applyFont="1" applyFill="1" applyProtection="1"/>
    <xf numFmtId="0" fontId="0" fillId="0" borderId="0" xfId="0" applyBorder="1"/>
    <xf numFmtId="0" fontId="0" fillId="0" borderId="0" xfId="0" applyFont="1" applyBorder="1" applyAlignment="1"/>
    <xf numFmtId="0" fontId="0" fillId="0" borderId="0" xfId="0" applyFont="1" applyBorder="1" applyAlignment="1">
      <alignment wrapText="1"/>
    </xf>
    <xf numFmtId="167" fontId="6" fillId="15" borderId="1" xfId="2" applyNumberFormat="1" applyFont="1" applyFill="1" applyBorder="1" applyAlignment="1" applyProtection="1">
      <alignment horizontal="right" vertical="center" wrapText="1" indent="1"/>
      <protection locked="0"/>
    </xf>
    <xf numFmtId="0" fontId="6" fillId="15" borderId="1" xfId="2" applyNumberFormat="1" applyFont="1" applyFill="1" applyBorder="1" applyAlignment="1" applyProtection="1">
      <alignment horizontal="right" vertical="center" indent="1"/>
      <protection locked="0"/>
    </xf>
    <xf numFmtId="178" fontId="0" fillId="0" borderId="0" xfId="0" applyNumberFormat="1" applyBorder="1"/>
    <xf numFmtId="0" fontId="0" fillId="0" borderId="0" xfId="0" applyFill="1" applyBorder="1"/>
    <xf numFmtId="169" fontId="0" fillId="0" borderId="0" xfId="1" applyNumberFormat="1" applyFont="1"/>
    <xf numFmtId="0" fontId="1" fillId="0" borderId="0" xfId="0" applyFont="1" applyFill="1" applyAlignment="1" applyProtection="1">
      <alignment wrapText="1"/>
    </xf>
    <xf numFmtId="174" fontId="6" fillId="0" borderId="1" xfId="1" applyNumberFormat="1" applyFont="1" applyFill="1" applyBorder="1" applyAlignment="1" applyProtection="1">
      <alignment horizontal="right" vertical="center" indent="1"/>
    </xf>
    <xf numFmtId="0" fontId="17" fillId="9" borderId="1" xfId="0" applyFont="1" applyFill="1" applyBorder="1" applyAlignment="1" applyProtection="1">
      <alignment horizontal="left" vertical="center" wrapText="1" indent="1"/>
    </xf>
    <xf numFmtId="0" fontId="8" fillId="15" borderId="15" xfId="0" applyFont="1" applyFill="1" applyBorder="1" applyAlignment="1" applyProtection="1">
      <alignment horizontal="center" vertical="center"/>
    </xf>
    <xf numFmtId="0" fontId="8" fillId="15" borderId="16" xfId="0" applyFont="1" applyFill="1" applyBorder="1" applyAlignment="1" applyProtection="1">
      <alignment horizontal="center" vertical="center"/>
    </xf>
    <xf numFmtId="0" fontId="8" fillId="15" borderId="17" xfId="0" applyFont="1" applyFill="1" applyBorder="1" applyAlignment="1" applyProtection="1">
      <alignment horizontal="center" vertical="center"/>
    </xf>
    <xf numFmtId="0" fontId="12" fillId="15" borderId="20" xfId="0" applyFont="1" applyFill="1" applyBorder="1" applyAlignment="1" applyProtection="1">
      <alignment horizontal="center" vertical="center"/>
    </xf>
    <xf numFmtId="0" fontId="12" fillId="15" borderId="6" xfId="0" applyFont="1" applyFill="1" applyBorder="1" applyAlignment="1" applyProtection="1">
      <alignment horizontal="center" vertical="center"/>
    </xf>
    <xf numFmtId="0" fontId="12" fillId="15" borderId="21" xfId="0" applyFont="1" applyFill="1" applyBorder="1" applyAlignment="1" applyProtection="1">
      <alignment horizontal="center" vertical="center"/>
    </xf>
    <xf numFmtId="0" fontId="0" fillId="9" borderId="22" xfId="0" applyFill="1" applyBorder="1" applyAlignment="1" applyProtection="1">
      <alignment horizontal="left" vertical="center" wrapText="1" indent="1"/>
    </xf>
    <xf numFmtId="0" fontId="0" fillId="9" borderId="23" xfId="0" applyFill="1" applyBorder="1" applyAlignment="1" applyProtection="1">
      <alignment horizontal="left" vertical="center" wrapText="1" indent="1"/>
    </xf>
    <xf numFmtId="0" fontId="0" fillId="9" borderId="24" xfId="0" applyFill="1" applyBorder="1" applyAlignment="1" applyProtection="1">
      <alignment horizontal="left" vertical="center" wrapText="1" indent="1"/>
    </xf>
    <xf numFmtId="0" fontId="0" fillId="0" borderId="22" xfId="0" applyBorder="1" applyAlignment="1" applyProtection="1">
      <alignment horizontal="left" vertical="center" wrapText="1" indent="1"/>
    </xf>
    <xf numFmtId="0" fontId="0" fillId="0" borderId="23" xfId="0" applyBorder="1" applyAlignment="1" applyProtection="1">
      <alignment horizontal="left" vertical="center" indent="1"/>
    </xf>
    <xf numFmtId="0" fontId="0" fillId="0" borderId="24" xfId="0" applyBorder="1" applyAlignment="1" applyProtection="1">
      <alignment horizontal="left" vertical="center" indent="1"/>
    </xf>
    <xf numFmtId="0" fontId="11" fillId="14" borderId="20" xfId="0" applyFont="1" applyFill="1" applyBorder="1" applyAlignment="1" applyProtection="1">
      <alignment horizontal="left" vertical="center" wrapText="1" indent="1"/>
    </xf>
    <xf numFmtId="0" fontId="11" fillId="14" borderId="6" xfId="0" applyFont="1" applyFill="1" applyBorder="1" applyAlignment="1" applyProtection="1">
      <alignment horizontal="left" vertical="center" wrapText="1" indent="1"/>
    </xf>
    <xf numFmtId="0" fontId="11" fillId="14" borderId="21" xfId="0" applyFont="1" applyFill="1" applyBorder="1" applyAlignment="1" applyProtection="1">
      <alignment horizontal="left" vertical="center" wrapText="1" indent="1"/>
    </xf>
    <xf numFmtId="0" fontId="0" fillId="0" borderId="20" xfId="0" applyBorder="1" applyAlignment="1" applyProtection="1">
      <alignment horizontal="left" vertical="center" indent="1"/>
    </xf>
    <xf numFmtId="0" fontId="0" fillId="0" borderId="6" xfId="0" applyBorder="1" applyAlignment="1" applyProtection="1">
      <alignment horizontal="left" vertical="center" indent="1"/>
    </xf>
    <xf numFmtId="0" fontId="0" fillId="0" borderId="21" xfId="0" applyBorder="1" applyAlignment="1" applyProtection="1">
      <alignment horizontal="left" vertical="center" indent="1"/>
    </xf>
    <xf numFmtId="0" fontId="11" fillId="14" borderId="22" xfId="0" applyFont="1" applyFill="1" applyBorder="1" applyAlignment="1" applyProtection="1">
      <alignment horizontal="left" vertical="center" wrapText="1" indent="1"/>
    </xf>
    <xf numFmtId="0" fontId="11" fillId="14" borderId="23" xfId="0" applyFont="1" applyFill="1" applyBorder="1" applyAlignment="1" applyProtection="1">
      <alignment horizontal="left" vertical="center" wrapText="1" indent="1"/>
    </xf>
    <xf numFmtId="0" fontId="11" fillId="14" borderId="24" xfId="0" applyFont="1" applyFill="1" applyBorder="1" applyAlignment="1" applyProtection="1">
      <alignment horizontal="left" vertical="center" wrapText="1" indent="1"/>
    </xf>
    <xf numFmtId="0" fontId="0" fillId="0" borderId="22" xfId="0" applyBorder="1" applyAlignment="1" applyProtection="1">
      <alignment horizontal="left" vertical="center" indent="1"/>
    </xf>
    <xf numFmtId="0" fontId="0" fillId="0" borderId="23" xfId="0" applyBorder="1" applyAlignment="1" applyProtection="1">
      <alignment horizontal="left" vertical="center" wrapText="1" indent="1"/>
    </xf>
    <xf numFmtId="0" fontId="0" fillId="0" borderId="24" xfId="0" applyBorder="1" applyAlignment="1" applyProtection="1">
      <alignment horizontal="left" vertical="center" wrapText="1" indent="1"/>
    </xf>
    <xf numFmtId="0" fontId="1" fillId="0" borderId="18"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14" fillId="9" borderId="15" xfId="0" applyFont="1" applyFill="1" applyBorder="1" applyAlignment="1" applyProtection="1">
      <alignment horizontal="left" vertical="center" wrapText="1" indent="1"/>
    </xf>
    <xf numFmtId="0" fontId="14" fillId="9" borderId="16" xfId="0" applyFont="1" applyFill="1" applyBorder="1" applyAlignment="1" applyProtection="1">
      <alignment horizontal="left" vertical="center" wrapText="1" indent="1"/>
    </xf>
    <xf numFmtId="0" fontId="14" fillId="9" borderId="17" xfId="0" applyFont="1" applyFill="1" applyBorder="1" applyAlignment="1" applyProtection="1">
      <alignment horizontal="left" vertical="center" wrapText="1" indent="1"/>
    </xf>
    <xf numFmtId="0" fontId="7" fillId="0" borderId="20"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0" fontId="0" fillId="0" borderId="0" xfId="0" applyBorder="1" applyAlignment="1">
      <alignment horizontal="center"/>
    </xf>
    <xf numFmtId="178" fontId="0" fillId="0" borderId="1" xfId="0" applyNumberFormat="1" applyBorder="1" applyAlignment="1">
      <alignment horizontal="center" vertical="center" wrapText="1"/>
    </xf>
    <xf numFmtId="0" fontId="17" fillId="9" borderId="25" xfId="3" applyFont="1" applyFill="1" applyBorder="1" applyAlignment="1">
      <alignment vertical="center" wrapText="1"/>
    </xf>
    <xf numFmtId="0" fontId="17" fillId="9" borderId="28" xfId="3" applyFont="1" applyFill="1" applyBorder="1" applyAlignment="1">
      <alignment vertical="center" wrapText="1"/>
    </xf>
    <xf numFmtId="169" fontId="0" fillId="9" borderId="3" xfId="1" applyNumberFormat="1" applyFont="1" applyFill="1" applyBorder="1" applyAlignment="1">
      <alignment vertical="center"/>
    </xf>
    <xf numFmtId="169" fontId="0" fillId="9" borderId="26" xfId="1" applyNumberFormat="1" applyFont="1" applyFill="1" applyBorder="1" applyAlignment="1">
      <alignment vertical="center"/>
    </xf>
    <xf numFmtId="169" fontId="0" fillId="9" borderId="1" xfId="1" applyNumberFormat="1" applyFont="1" applyFill="1" applyBorder="1" applyAlignment="1">
      <alignment vertical="center"/>
    </xf>
    <xf numFmtId="169" fontId="0" fillId="9" borderId="27" xfId="1" applyNumberFormat="1" applyFont="1" applyFill="1" applyBorder="1" applyAlignment="1">
      <alignment vertical="center"/>
    </xf>
    <xf numFmtId="169" fontId="0" fillId="9" borderId="29" xfId="1" applyNumberFormat="1" applyFont="1" applyFill="1" applyBorder="1" applyAlignment="1">
      <alignment vertical="center"/>
    </xf>
    <xf numFmtId="169" fontId="0" fillId="9" borderId="30" xfId="1" applyNumberFormat="1" applyFont="1" applyFill="1" applyBorder="1" applyAlignment="1">
      <alignment vertical="center"/>
    </xf>
    <xf numFmtId="0" fontId="0" fillId="9" borderId="31" xfId="0" applyFill="1" applyBorder="1" applyAlignment="1">
      <alignment vertical="center" wrapText="1"/>
    </xf>
    <xf numFmtId="0" fontId="0" fillId="9" borderId="34" xfId="0" applyFill="1" applyBorder="1" applyAlignment="1">
      <alignment vertical="center" wrapText="1"/>
    </xf>
    <xf numFmtId="0" fontId="0" fillId="9" borderId="35" xfId="0" applyFill="1" applyBorder="1" applyAlignment="1">
      <alignment vertical="center" wrapText="1"/>
    </xf>
    <xf numFmtId="0" fontId="0" fillId="9" borderId="32" xfId="0" applyFill="1" applyBorder="1" applyAlignment="1">
      <alignment vertical="center"/>
    </xf>
    <xf numFmtId="0" fontId="0" fillId="9" borderId="33" xfId="0" applyFill="1" applyBorder="1" applyAlignment="1">
      <alignment vertical="center"/>
    </xf>
    <xf numFmtId="0" fontId="0" fillId="9" borderId="1" xfId="0" applyFill="1" applyBorder="1" applyAlignment="1">
      <alignment vertical="center"/>
    </xf>
    <xf numFmtId="0" fontId="0" fillId="9" borderId="27" xfId="0" applyFill="1" applyBorder="1" applyAlignment="1">
      <alignment vertical="center"/>
    </xf>
    <xf numFmtId="0" fontId="0" fillId="9" borderId="29" xfId="0" applyFill="1" applyBorder="1" applyAlignment="1">
      <alignment vertical="center"/>
    </xf>
    <xf numFmtId="0" fontId="0" fillId="9" borderId="30" xfId="0" applyFill="1" applyBorder="1" applyAlignment="1">
      <alignment vertical="center"/>
    </xf>
    <xf numFmtId="0" fontId="9" fillId="11" borderId="11" xfId="0" applyFont="1" applyFill="1" applyBorder="1" applyAlignment="1">
      <alignment horizontal="center"/>
    </xf>
    <xf numFmtId="0" fontId="9" fillId="11" borderId="14" xfId="0" applyFont="1" applyFill="1" applyBorder="1" applyAlignment="1">
      <alignment horizontal="center"/>
    </xf>
    <xf numFmtId="0" fontId="9" fillId="11" borderId="12" xfId="0" applyFont="1" applyFill="1" applyBorder="1" applyAlignment="1">
      <alignment horizontal="center"/>
    </xf>
    <xf numFmtId="0" fontId="9" fillId="11" borderId="8" xfId="0" applyFont="1" applyFill="1" applyBorder="1" applyAlignment="1">
      <alignment horizontal="center"/>
    </xf>
    <xf numFmtId="0" fontId="9" fillId="11" borderId="9" xfId="0" applyFont="1" applyFill="1" applyBorder="1" applyAlignment="1">
      <alignment horizontal="center"/>
    </xf>
    <xf numFmtId="0" fontId="9" fillId="11" borderId="10" xfId="0" applyFont="1" applyFill="1" applyBorder="1" applyAlignment="1">
      <alignment horizontal="center"/>
    </xf>
    <xf numFmtId="0" fontId="4" fillId="9" borderId="0" xfId="0" applyFont="1" applyFill="1" applyBorder="1" applyAlignment="1">
      <alignment horizontal="center"/>
    </xf>
    <xf numFmtId="0" fontId="1" fillId="16" borderId="1" xfId="0" applyFont="1" applyFill="1" applyBorder="1" applyAlignment="1">
      <alignment horizontal="left"/>
    </xf>
    <xf numFmtId="0" fontId="1" fillId="16" borderId="1" xfId="0" applyFont="1" applyFill="1" applyBorder="1" applyAlignment="1"/>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1" xfId="0" applyBorder="1" applyAlignment="1">
      <alignment vertical="center"/>
    </xf>
    <xf numFmtId="0" fontId="0" fillId="0" borderId="1" xfId="0" applyBorder="1" applyAlignment="1">
      <alignment wrapText="1"/>
    </xf>
    <xf numFmtId="0" fontId="0" fillId="0" borderId="1" xfId="0" applyBorder="1" applyAlignment="1"/>
    <xf numFmtId="0" fontId="0" fillId="0" borderId="1" xfId="0" applyBorder="1"/>
  </cellXfs>
  <cellStyles count="5">
    <cellStyle name="Comma" xfId="2" builtinId="3"/>
    <cellStyle name="Currency" xfId="1" builtinId="4"/>
    <cellStyle name="Hyperlink" xfId="3" builtinId="8"/>
    <cellStyle name="Normal" xfId="0" builtinId="0"/>
    <cellStyle name="Percent" xfId="4" builtinId="5"/>
  </cellStyles>
  <dxfs count="0"/>
  <tableStyles count="0" defaultTableStyle="TableStyleMedium2" defaultPivotStyle="PivotStyleLight16"/>
  <colors>
    <mruColors>
      <color rgb="FFFF7C80"/>
      <color rgb="FFE4B53A"/>
      <color rgb="FF86A8CC"/>
      <color rgb="FF005397"/>
      <color rgb="FFF3C3EA"/>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56621632494442"/>
          <c:y val="0.17782633673967521"/>
          <c:w val="0.75217504866485296"/>
          <c:h val="0.68051145792541945"/>
        </c:manualLayout>
      </c:layout>
      <c:lineChart>
        <c:grouping val="standard"/>
        <c:varyColors val="0"/>
        <c:ser>
          <c:idx val="1"/>
          <c:order val="0"/>
          <c:tx>
            <c:strRef>
              <c:f>'PAYASGO '!$C$14</c:f>
              <c:strCache>
                <c:ptCount val="1"/>
                <c:pt idx="0">
                  <c:v>SUBSCRIPTION RATE ($/kWh)</c:v>
                </c:pt>
              </c:strCache>
            </c:strRef>
          </c:tx>
          <c:spPr>
            <a:ln w="38100"/>
          </c:spPr>
          <c:marker>
            <c:symbol val="none"/>
          </c:marker>
          <c:dLbls>
            <c:dLbl>
              <c:idx val="0"/>
              <c:layout>
                <c:manualLayout>
                  <c:x val="2.5090643123420985E-2"/>
                  <c:y val="4.2803743633169355E-2"/>
                </c:manualLayout>
              </c:layout>
              <c:numFmt formatCode="&quot;$&quot;#,##0.0000" sourceLinked="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9.2485832183110323E-2"/>
                      <c:h val="4.7217763509898342E-2"/>
                    </c:manualLayout>
                  </c15:layout>
                </c:ext>
                <c:ext xmlns:c16="http://schemas.microsoft.com/office/drawing/2014/chart" uri="{C3380CC4-5D6E-409C-BE32-E72D297353CC}">
                  <c16:uniqueId val="{00000002-40C8-41DB-869B-4A92CB07E6BE}"/>
                </c:ext>
              </c:extLst>
            </c:dLbl>
            <c:dLbl>
              <c:idx val="24"/>
              <c:tx>
                <c:rich>
                  <a:bodyPr/>
                  <a:lstStyle/>
                  <a:p>
                    <a:r>
                      <a:rPr lang="en-US"/>
                      <a:t>$</a:t>
                    </a:r>
                    <a:fld id="{5D2A7A8A-6A66-46BF-A546-A81243A821C9}"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0C8-41DB-869B-4A92CB07E6BE}"/>
                </c:ext>
              </c:extLst>
            </c:dLbl>
            <c:numFmt formatCode="#,##0.00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val>
            <c:numRef>
              <c:f>'PAYASGO '!$C$15:$C$39</c:f>
              <c:numCache>
                <c:formatCode>0.00000</c:formatCode>
                <c:ptCount val="25"/>
                <c:pt idx="0">
                  <c:v>0.13</c:v>
                </c:pt>
                <c:pt idx="1">
                  <c:v>0.13357500000000003</c:v>
                </c:pt>
                <c:pt idx="2">
                  <c:v>0.13724831250000002</c:v>
                </c:pt>
                <c:pt idx="3">
                  <c:v>0.14102264109375004</c:v>
                </c:pt>
                <c:pt idx="4">
                  <c:v>0.14490076372382815</c:v>
                </c:pt>
                <c:pt idx="5">
                  <c:v>0.14888553472623348</c:v>
                </c:pt>
                <c:pt idx="6">
                  <c:v>0.15297988693120487</c:v>
                </c:pt>
                <c:pt idx="7">
                  <c:v>0.157186833821813</c:v>
                </c:pt>
                <c:pt idx="8">
                  <c:v>0.16150947175191288</c:v>
                </c:pt>
                <c:pt idx="9">
                  <c:v>0.1659509822250905</c:v>
                </c:pt>
                <c:pt idx="10">
                  <c:v>0.17051463423628049</c:v>
                </c:pt>
                <c:pt idx="11">
                  <c:v>0.17520378667777822</c:v>
                </c:pt>
                <c:pt idx="12">
                  <c:v>0.18002189081141712</c:v>
                </c:pt>
                <c:pt idx="13">
                  <c:v>0.18497249280873113</c:v>
                </c:pt>
                <c:pt idx="14">
                  <c:v>0.19005923636097125</c:v>
                </c:pt>
                <c:pt idx="15">
                  <c:v>0.19528586536089793</c:v>
                </c:pt>
                <c:pt idx="16">
                  <c:v>0.20065622665832261</c:v>
                </c:pt>
                <c:pt idx="17">
                  <c:v>0.20617427289142651</c:v>
                </c:pt>
                <c:pt idx="18">
                  <c:v>0.21184406539594075</c:v>
                </c:pt>
                <c:pt idx="19">
                  <c:v>0.21766977719432912</c:v>
                </c:pt>
                <c:pt idx="20">
                  <c:v>0.22365569606717317</c:v>
                </c:pt>
                <c:pt idx="21">
                  <c:v>0.22980622770902048</c:v>
                </c:pt>
                <c:pt idx="22">
                  <c:v>0.23612589897101854</c:v>
                </c:pt>
                <c:pt idx="23">
                  <c:v>0.24261936119272157</c:v>
                </c:pt>
                <c:pt idx="24">
                  <c:v>0.24929139362552138</c:v>
                </c:pt>
              </c:numCache>
            </c:numRef>
          </c:val>
          <c:smooth val="0"/>
          <c:extLst>
            <c:ext xmlns:c16="http://schemas.microsoft.com/office/drawing/2014/chart" uri="{C3380CC4-5D6E-409C-BE32-E72D297353CC}">
              <c16:uniqueId val="{00000004-40C8-41DB-869B-4A92CB07E6BE}"/>
            </c:ext>
          </c:extLst>
        </c:ser>
        <c:ser>
          <c:idx val="2"/>
          <c:order val="1"/>
          <c:tx>
            <c:strRef>
              <c:f>'PAYASGO '!$D$14</c:f>
              <c:strCache>
                <c:ptCount val="1"/>
                <c:pt idx="0">
                  <c:v>BILL CREDIT RATE ($/kWh)</c:v>
                </c:pt>
              </c:strCache>
            </c:strRef>
          </c:tx>
          <c:spPr>
            <a:ln w="50800"/>
          </c:spPr>
          <c:marker>
            <c:symbol val="none"/>
          </c:marker>
          <c:dLbls>
            <c:dLbl>
              <c:idx val="0"/>
              <c:layout>
                <c:manualLayout>
                  <c:x val="-1.0753132767180422E-2"/>
                  <c:y val="-8.0256821829855537E-2"/>
                </c:manualLayout>
              </c:layout>
              <c:numFmt formatCode="&quot;$&quot;#,##0.000" sourceLinked="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0C8-41DB-869B-4A92CB07E6BE}"/>
                </c:ext>
              </c:extLst>
            </c:dLbl>
            <c:dLbl>
              <c:idx val="24"/>
              <c:tx>
                <c:rich>
                  <a:bodyPr/>
                  <a:lstStyle/>
                  <a:p>
                    <a:r>
                      <a:rPr lang="en-US"/>
                      <a:t>$</a:t>
                    </a:r>
                    <a:fld id="{0C9D0643-2626-4F0C-B3B1-2099597D979A}"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40C8-41DB-869B-4A92CB07E6BE}"/>
                </c:ext>
              </c:extLst>
            </c:dLbl>
            <c:numFmt formatCode="#,##0.00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val>
            <c:numRef>
              <c:f>'PAYASGO '!$D$15:$D$39</c:f>
              <c:numCache>
                <c:formatCode>0.00000</c:formatCode>
                <c:ptCount val="25"/>
                <c:pt idx="0">
                  <c:v>0.15539999999999998</c:v>
                </c:pt>
                <c:pt idx="1">
                  <c:v>0.1591235</c:v>
                </c:pt>
                <c:pt idx="2">
                  <c:v>0.16294939625000002</c:v>
                </c:pt>
                <c:pt idx="3">
                  <c:v>0.16688050464687501</c:v>
                </c:pt>
                <c:pt idx="4">
                  <c:v>0.17091971852466409</c:v>
                </c:pt>
                <c:pt idx="5">
                  <c:v>0.17507001078409237</c:v>
                </c:pt>
                <c:pt idx="6">
                  <c:v>0.17933443608065491</c:v>
                </c:pt>
                <c:pt idx="7">
                  <c:v>0.18371613307287291</c:v>
                </c:pt>
                <c:pt idx="8">
                  <c:v>0.18821832673237693</c:v>
                </c:pt>
                <c:pt idx="9">
                  <c:v>0.1928443307175173</c:v>
                </c:pt>
                <c:pt idx="10">
                  <c:v>0.19759754981224903</c:v>
                </c:pt>
                <c:pt idx="11">
                  <c:v>0.20248148243208589</c:v>
                </c:pt>
                <c:pt idx="12">
                  <c:v>0.20749972319896826</c:v>
                </c:pt>
                <c:pt idx="13">
                  <c:v>0.21265596558693992</c:v>
                </c:pt>
                <c:pt idx="14">
                  <c:v>0.21795400464058079</c:v>
                </c:pt>
                <c:pt idx="15">
                  <c:v>0.22339773976819674</c:v>
                </c:pt>
                <c:pt idx="16">
                  <c:v>0.22899117761182214</c:v>
                </c:pt>
                <c:pt idx="17">
                  <c:v>0.23473843499614727</c:v>
                </c:pt>
                <c:pt idx="18">
                  <c:v>0.24064374195854135</c:v>
                </c:pt>
                <c:pt idx="19">
                  <c:v>0.24671144486240121</c:v>
                </c:pt>
                <c:pt idx="20">
                  <c:v>0.25294600959611729</c:v>
                </c:pt>
                <c:pt idx="21">
                  <c:v>0.25935202486001052</c:v>
                </c:pt>
                <c:pt idx="22">
                  <c:v>0.26593420554366082</c:v>
                </c:pt>
                <c:pt idx="23">
                  <c:v>0.2726973961961115</c:v>
                </c:pt>
                <c:pt idx="24">
                  <c:v>0.2796465745915046</c:v>
                </c:pt>
              </c:numCache>
            </c:numRef>
          </c:val>
          <c:smooth val="0"/>
          <c:extLst>
            <c:ext xmlns:c16="http://schemas.microsoft.com/office/drawing/2014/chart" uri="{C3380CC4-5D6E-409C-BE32-E72D297353CC}">
              <c16:uniqueId val="{00000007-40C8-41DB-869B-4A92CB07E6BE}"/>
            </c:ext>
          </c:extLst>
        </c:ser>
        <c:dLbls>
          <c:showLegendKey val="0"/>
          <c:showVal val="0"/>
          <c:showCatName val="0"/>
          <c:showSerName val="0"/>
          <c:showPercent val="0"/>
          <c:showBubbleSize val="0"/>
        </c:dLbls>
        <c:smooth val="0"/>
        <c:axId val="309598072"/>
        <c:axId val="309604600"/>
      </c:lineChart>
      <c:catAx>
        <c:axId val="309598072"/>
        <c:scaling>
          <c:orientation val="minMax"/>
        </c:scaling>
        <c:delete val="0"/>
        <c:axPos val="b"/>
        <c:title>
          <c:tx>
            <c:rich>
              <a:bodyPr/>
              <a:lstStyle/>
              <a:p>
                <a:pPr>
                  <a:defRPr/>
                </a:pPr>
                <a:endParaRPr lang="en-US"/>
              </a:p>
              <a:p>
                <a:pPr>
                  <a:defRPr/>
                </a:pPr>
                <a:endParaRPr lang="en-US"/>
              </a:p>
              <a:p>
                <a:pPr>
                  <a:defRPr/>
                </a:pPr>
                <a:endParaRPr lang="en-US"/>
              </a:p>
            </c:rich>
          </c:tx>
          <c:overlay val="0"/>
        </c:title>
        <c:majorTickMark val="out"/>
        <c:minorTickMark val="none"/>
        <c:tickLblPos val="nextTo"/>
        <c:crossAx val="309604600"/>
        <c:crosses val="autoZero"/>
        <c:auto val="1"/>
        <c:lblAlgn val="ctr"/>
        <c:lblOffset val="100"/>
        <c:noMultiLvlLbl val="0"/>
      </c:catAx>
      <c:valAx>
        <c:axId val="309604600"/>
        <c:scaling>
          <c:orientation val="minMax"/>
          <c:min val="8.0000000000000016E-2"/>
        </c:scaling>
        <c:delete val="0"/>
        <c:axPos val="l"/>
        <c:majorGridlines/>
        <c:title>
          <c:tx>
            <c:rich>
              <a:bodyPr/>
              <a:lstStyle/>
              <a:p>
                <a:pPr>
                  <a:defRPr/>
                </a:pPr>
                <a:r>
                  <a:rPr lang="en-US"/>
                  <a:t>$/kWh Produced by Your Solar Garden Subscription</a:t>
                </a:r>
              </a:p>
            </c:rich>
          </c:tx>
          <c:layout>
            <c:manualLayout>
              <c:xMode val="edge"/>
              <c:yMode val="edge"/>
              <c:x val="3.7404823219269315E-2"/>
              <c:y val="0.17450608260550896"/>
            </c:manualLayout>
          </c:layout>
          <c:overlay val="0"/>
        </c:title>
        <c:numFmt formatCode="_(&quot;$&quot;* #,##0.00_);_(&quot;$&quot;* \(#,##0.00\);_(&quot;$&quot;* &quot;-&quot;??_);_(@_)" sourceLinked="0"/>
        <c:majorTickMark val="none"/>
        <c:minorTickMark val="none"/>
        <c:tickLblPos val="nextTo"/>
        <c:crossAx val="309598072"/>
        <c:crosses val="autoZero"/>
        <c:crossBetween val="between"/>
      </c:valAx>
    </c:plotArea>
    <c:legend>
      <c:legendPos val="r"/>
      <c:layout>
        <c:manualLayout>
          <c:xMode val="edge"/>
          <c:yMode val="edge"/>
          <c:x val="7.8806821438656971E-2"/>
          <c:y val="0.20491276343967144"/>
          <c:w val="0.57277916520295902"/>
          <c:h val="0.21800765072905215"/>
        </c:manualLayout>
      </c:layout>
      <c:overlay val="0"/>
      <c:txPr>
        <a:bodyPr/>
        <a:lstStyle/>
        <a:p>
          <a:pPr>
            <a:defRPr sz="1400"/>
          </a:pPr>
          <a:endParaRPr lang="en-US"/>
        </a:p>
      </c:txPr>
    </c:legend>
    <c:plotVisOnly val="1"/>
    <c:dispBlanksAs val="gap"/>
    <c:showDLblsOverMax val="0"/>
  </c:chart>
  <c:spPr>
    <a:ln w="9525">
      <a:solidFill>
        <a:schemeClr val="tx1"/>
      </a:solidFill>
    </a:ln>
  </c:spPr>
  <c:txPr>
    <a:bodyPr/>
    <a:lstStyle/>
    <a:p>
      <a:pPr>
        <a:defRPr sz="1200" b="1"/>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image" Target="../media/image1.gif"/><Relationship Id="rId1" Type="http://schemas.openxmlformats.org/officeDocument/2006/relationships/chart" Target="../charts/chart1.xml"/><Relationship Id="rId4" Type="http://schemas.openxmlformats.org/officeDocument/2006/relationships/image" Target="../media/image3.gi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30</xdr:row>
      <xdr:rowOff>200023</xdr:rowOff>
    </xdr:from>
    <xdr:to>
      <xdr:col>8</xdr:col>
      <xdr:colOff>310222</xdr:colOff>
      <xdr:row>49</xdr:row>
      <xdr:rowOff>2038349</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76201</xdr:colOff>
      <xdr:row>6</xdr:row>
      <xdr:rowOff>2557</xdr:rowOff>
    </xdr:from>
    <xdr:to>
      <xdr:col>9</xdr:col>
      <xdr:colOff>1275867</xdr:colOff>
      <xdr:row>7</xdr:row>
      <xdr:rowOff>436245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72301" y="3477277"/>
          <a:ext cx="1519706" cy="883268"/>
        </a:xfrm>
        <a:prstGeom prst="rect">
          <a:avLst/>
        </a:prstGeom>
      </xdr:spPr>
    </xdr:pic>
    <xdr:clientData/>
  </xdr:twoCellAnchor>
  <xdr:twoCellAnchor editAs="oneCell">
    <xdr:from>
      <xdr:col>8</xdr:col>
      <xdr:colOff>69991</xdr:colOff>
      <xdr:row>20</xdr:row>
      <xdr:rowOff>238933</xdr:rowOff>
    </xdr:from>
    <xdr:to>
      <xdr:col>9</xdr:col>
      <xdr:colOff>1263019</xdr:colOff>
      <xdr:row>22</xdr:row>
      <xdr:rowOff>239535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966091" y="8369473"/>
          <a:ext cx="1513068" cy="899762"/>
        </a:xfrm>
        <a:prstGeom prst="rect">
          <a:avLst/>
        </a:prstGeom>
      </xdr:spPr>
    </xdr:pic>
    <xdr:clientData/>
  </xdr:twoCellAnchor>
  <xdr:twoCellAnchor editAs="oneCell">
    <xdr:from>
      <xdr:col>8</xdr:col>
      <xdr:colOff>67591</xdr:colOff>
      <xdr:row>15</xdr:row>
      <xdr:rowOff>240907</xdr:rowOff>
    </xdr:from>
    <xdr:to>
      <xdr:col>9</xdr:col>
      <xdr:colOff>1257301</xdr:colOff>
      <xdr:row>18</xdr:row>
      <xdr:rowOff>2185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963691" y="6595987"/>
          <a:ext cx="1509750" cy="899198"/>
        </a:xfrm>
        <a:prstGeom prst="rect">
          <a:avLst/>
        </a:prstGeom>
      </xdr:spPr>
    </xdr:pic>
    <xdr:clientData/>
  </xdr:twoCellAnchor>
  <xdr:twoCellAnchor>
    <xdr:from>
      <xdr:col>3</xdr:col>
      <xdr:colOff>0</xdr:colOff>
      <xdr:row>49</xdr:row>
      <xdr:rowOff>1581150</xdr:rowOff>
    </xdr:from>
    <xdr:to>
      <xdr:col>6</xdr:col>
      <xdr:colOff>438150</xdr:colOff>
      <xdr:row>49</xdr:row>
      <xdr:rowOff>1838325</xdr:rowOff>
    </xdr:to>
    <xdr:sp macro="" textlink="">
      <xdr:nvSpPr>
        <xdr:cNvPr id="6" name="TextBox 5">
          <a:extLst>
            <a:ext uri="{FF2B5EF4-FFF2-40B4-BE49-F238E27FC236}">
              <a16:creationId xmlns:a16="http://schemas.microsoft.com/office/drawing/2014/main" id="{39D1FE6C-547A-46AD-9E1E-7106FBEECF42}"/>
            </a:ext>
          </a:extLst>
        </xdr:cNvPr>
        <xdr:cNvSpPr txBox="1"/>
      </xdr:nvSpPr>
      <xdr:spPr>
        <a:xfrm>
          <a:off x="2466975" y="17726025"/>
          <a:ext cx="34099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Years</a:t>
          </a:r>
          <a:r>
            <a:rPr lang="en-US" sz="1100" b="1" baseline="0"/>
            <a:t> from beginning of Solar Garden Contract</a:t>
          </a:r>
          <a:endParaRPr lang="en-US" sz="1100" b="1"/>
        </a:p>
      </xdr:txBody>
    </xdr:sp>
    <xdr:clientData/>
  </xdr:twoCellAnchor>
</xdr:wsDr>
</file>

<file path=xl/drawings/drawing2.xml><?xml version="1.0" encoding="utf-8"?>
<c:userShapes xmlns:c="http://schemas.openxmlformats.org/drawingml/2006/chart">
  <cdr:relSizeAnchor xmlns:cdr="http://schemas.openxmlformats.org/drawingml/2006/chartDrawing">
    <cdr:from>
      <cdr:x>0.07263</cdr:x>
      <cdr:y>0.00689</cdr:y>
    </cdr:from>
    <cdr:to>
      <cdr:x>0.92165</cdr:x>
      <cdr:y>0.1824</cdr:y>
    </cdr:to>
    <cdr:sp macro="" textlink="">
      <cdr:nvSpPr>
        <cdr:cNvPr id="2" name="TextBox 1">
          <a:extLst xmlns:a="http://schemas.openxmlformats.org/drawingml/2006/main">
            <a:ext uri="{FF2B5EF4-FFF2-40B4-BE49-F238E27FC236}">
              <a16:creationId xmlns:a16="http://schemas.microsoft.com/office/drawing/2014/main" id="{EE518081-240C-4028-9EAB-68661CDC7735}"/>
            </a:ext>
          </a:extLst>
        </cdr:cNvPr>
        <cdr:cNvSpPr txBox="1"/>
      </cdr:nvSpPr>
      <cdr:spPr>
        <a:xfrm xmlns:a="http://schemas.openxmlformats.org/drawingml/2006/main">
          <a:off x="552451" y="37669"/>
          <a:ext cx="6457950" cy="9595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Based on your inputs above, the </a:t>
          </a:r>
          <a:r>
            <a:rPr lang="en-US" sz="1100" b="1">
              <a:solidFill>
                <a:srgbClr val="FF0000"/>
              </a:solidFill>
            </a:rPr>
            <a:t>red line </a:t>
          </a:r>
          <a:r>
            <a:rPr lang="en-US" sz="1100"/>
            <a:t>in this chart shows </a:t>
          </a:r>
          <a:r>
            <a:rPr lang="en-US" sz="1100" baseline="0"/>
            <a:t>what you will pay -- per kWh produced by your solar garden subscription -- to the garden developer; the </a:t>
          </a:r>
          <a:r>
            <a:rPr lang="en-US" sz="1100" b="1" baseline="0">
              <a:solidFill>
                <a:schemeClr val="accent3"/>
              </a:solidFill>
            </a:rPr>
            <a:t>green line </a:t>
          </a:r>
          <a:r>
            <a:rPr lang="en-US" sz="1100" baseline="0"/>
            <a:t>shows what you will recieve -- per kWh produced by your solar garden subscription -- as a credit on your monthly electricity bill from Xcel Energy. </a:t>
          </a:r>
          <a:r>
            <a:rPr lang="en-US" sz="1100" i="1" baseline="0"/>
            <a:t>HINT: When the green line is above the red line, you are saving money due to your subscription.</a:t>
          </a:r>
          <a:endParaRPr lang="en-US" sz="1100" i="1"/>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12</xdr:col>
      <xdr:colOff>352424</xdr:colOff>
      <xdr:row>0</xdr:row>
      <xdr:rowOff>0</xdr:rowOff>
    </xdr:from>
    <xdr:to>
      <xdr:col>27</xdr:col>
      <xdr:colOff>333375</xdr:colOff>
      <xdr:row>29</xdr:row>
      <xdr:rowOff>123825</xdr:rowOff>
    </xdr:to>
    <xdr:pic>
      <xdr:nvPicPr>
        <xdr:cNvPr id="3" name="Picture 2"/>
        <xdr:cNvPicPr>
          <a:picLocks noChangeAspect="1"/>
        </xdr:cNvPicPr>
      </xdr:nvPicPr>
      <xdr:blipFill rotWithShape="1">
        <a:blip xmlns:r="http://schemas.openxmlformats.org/officeDocument/2006/relationships" r:embed="rId1"/>
        <a:srcRect l="20658" t="15250" r="22312" b="9988"/>
        <a:stretch/>
      </xdr:blipFill>
      <xdr:spPr>
        <a:xfrm>
          <a:off x="13001624" y="0"/>
          <a:ext cx="9124951" cy="7191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xcelenergy.com/staticfiles/xe-responsive/Admin/Managed%20Documents%20&amp;%20PDFs/MN-SRC-Eligible-Billing-Rate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55"/>
  <sheetViews>
    <sheetView tabSelected="1" zoomScale="75" zoomScaleNormal="75" workbookViewId="0">
      <selection activeCell="C8" sqref="C8:F8"/>
    </sheetView>
  </sheetViews>
  <sheetFormatPr defaultRowHeight="15" x14ac:dyDescent="0.25"/>
  <cols>
    <col min="1" max="1" width="5.140625" customWidth="1"/>
    <col min="2" max="2" width="3.28515625" customWidth="1"/>
    <col min="3" max="3" width="28.5703125" customWidth="1"/>
    <col min="4" max="4" width="14.7109375" customWidth="1"/>
    <col min="5" max="5" width="15.42578125" customWidth="1"/>
    <col min="6" max="6" width="14.42578125" customWidth="1"/>
    <col min="7" max="7" width="17.5703125" customWidth="1"/>
    <col min="8" max="8" width="17.28515625" customWidth="1"/>
    <col min="9" max="9" width="4.7109375" customWidth="1"/>
    <col min="10" max="10" width="19.28515625" customWidth="1"/>
    <col min="11" max="11" width="99.140625" customWidth="1"/>
    <col min="12" max="12" width="14" customWidth="1"/>
    <col min="13" max="13" width="14.7109375" customWidth="1"/>
    <col min="14" max="14" width="14.140625" customWidth="1"/>
    <col min="15" max="15" width="12.28515625" customWidth="1"/>
    <col min="17" max="17" width="9.42578125" customWidth="1"/>
    <col min="18" max="18" width="2.85546875" customWidth="1"/>
    <col min="19" max="19" width="76.28515625" customWidth="1"/>
  </cols>
  <sheetData>
    <row r="1" spans="1:19" x14ac:dyDescent="0.25">
      <c r="A1" s="67"/>
      <c r="B1" s="67"/>
      <c r="C1" s="67"/>
      <c r="D1" s="67"/>
      <c r="E1" s="67"/>
      <c r="F1" s="67"/>
      <c r="G1" s="67"/>
      <c r="H1" s="67"/>
      <c r="I1" s="67"/>
      <c r="J1" s="67"/>
      <c r="K1" s="67"/>
      <c r="L1" s="76"/>
      <c r="M1" s="76"/>
      <c r="N1" s="76"/>
      <c r="O1" s="76"/>
      <c r="P1" s="76"/>
      <c r="Q1" s="76"/>
      <c r="R1" s="76"/>
      <c r="S1" s="6"/>
    </row>
    <row r="2" spans="1:19" ht="25.9" customHeight="1" x14ac:dyDescent="0.25">
      <c r="A2" s="67"/>
      <c r="B2" s="163" t="s">
        <v>11</v>
      </c>
      <c r="C2" s="164"/>
      <c r="D2" s="164"/>
      <c r="E2" s="164"/>
      <c r="F2" s="164"/>
      <c r="G2" s="164"/>
      <c r="H2" s="165"/>
      <c r="I2" s="67"/>
      <c r="J2" s="16"/>
      <c r="K2" s="16"/>
      <c r="L2" s="6"/>
      <c r="M2" s="6"/>
      <c r="N2" s="6"/>
      <c r="O2" s="6"/>
      <c r="P2" s="6"/>
      <c r="Q2" s="6"/>
      <c r="R2" s="77"/>
      <c r="S2" s="79"/>
    </row>
    <row r="3" spans="1:19" ht="22.9" customHeight="1" x14ac:dyDescent="0.25">
      <c r="A3" s="67"/>
      <c r="B3" s="166" t="s">
        <v>12</v>
      </c>
      <c r="C3" s="167"/>
      <c r="D3" s="167"/>
      <c r="E3" s="167"/>
      <c r="F3" s="167"/>
      <c r="G3" s="167"/>
      <c r="H3" s="168"/>
      <c r="I3" s="67"/>
      <c r="J3" s="67"/>
      <c r="K3" s="67"/>
      <c r="L3" s="76"/>
      <c r="M3" s="76"/>
      <c r="N3" s="76"/>
      <c r="O3" s="76"/>
      <c r="P3" s="76"/>
      <c r="Q3" s="76"/>
      <c r="R3" s="76"/>
      <c r="S3" s="6"/>
    </row>
    <row r="4" spans="1:19" ht="141" customHeight="1" x14ac:dyDescent="0.25">
      <c r="A4" s="67"/>
      <c r="B4" s="169" t="s">
        <v>119</v>
      </c>
      <c r="C4" s="170"/>
      <c r="D4" s="170"/>
      <c r="E4" s="170"/>
      <c r="F4" s="170"/>
      <c r="G4" s="170"/>
      <c r="H4" s="171"/>
      <c r="I4" s="67"/>
      <c r="J4" s="67"/>
      <c r="K4" s="151"/>
      <c r="L4" s="76"/>
      <c r="M4" s="76"/>
      <c r="N4" s="76"/>
      <c r="O4" s="76"/>
      <c r="P4" s="76"/>
      <c r="Q4" s="76"/>
      <c r="R4" s="76"/>
      <c r="S4" s="6"/>
    </row>
    <row r="5" spans="1:19" ht="13.15" customHeight="1" x14ac:dyDescent="0.25">
      <c r="A5" s="69"/>
      <c r="B5" s="67"/>
      <c r="C5" s="70"/>
      <c r="D5" s="70"/>
      <c r="E5" s="70"/>
      <c r="F5" s="70"/>
      <c r="G5" s="67"/>
      <c r="H5" s="67"/>
      <c r="I5" s="67"/>
      <c r="J5" s="67"/>
      <c r="K5" s="67"/>
      <c r="L5" s="76"/>
      <c r="M5" s="76"/>
      <c r="N5" s="76"/>
      <c r="O5" s="76"/>
      <c r="P5" s="76"/>
      <c r="Q5" s="76"/>
      <c r="R5" s="76"/>
      <c r="S5" s="6"/>
    </row>
    <row r="6" spans="1:19" ht="19.149999999999999" customHeight="1" x14ac:dyDescent="0.25">
      <c r="A6" s="67"/>
      <c r="B6" s="181" t="s">
        <v>115</v>
      </c>
      <c r="C6" s="182"/>
      <c r="D6" s="182"/>
      <c r="E6" s="182"/>
      <c r="F6" s="183"/>
      <c r="G6" s="71" t="s">
        <v>23</v>
      </c>
      <c r="H6" s="72" t="s">
        <v>13</v>
      </c>
      <c r="I6" s="67"/>
      <c r="J6" s="67"/>
      <c r="K6" s="67"/>
      <c r="L6" s="76"/>
      <c r="M6" s="76"/>
      <c r="N6" s="76"/>
      <c r="O6" s="76"/>
      <c r="P6" s="76"/>
      <c r="Q6" s="76"/>
      <c r="R6" s="76"/>
      <c r="S6" s="6"/>
    </row>
    <row r="7" spans="1:19" ht="35.450000000000003" customHeight="1" x14ac:dyDescent="0.25">
      <c r="A7" s="67"/>
      <c r="B7" s="73">
        <v>1</v>
      </c>
      <c r="C7" s="178" t="s">
        <v>60</v>
      </c>
      <c r="D7" s="179"/>
      <c r="E7" s="179"/>
      <c r="F7" s="180"/>
      <c r="G7" s="142">
        <v>10000</v>
      </c>
      <c r="H7" s="88" t="s">
        <v>59</v>
      </c>
      <c r="I7" s="67"/>
      <c r="J7" s="67"/>
      <c r="K7" s="67"/>
      <c r="L7" s="76"/>
      <c r="M7" s="76"/>
      <c r="N7" s="76"/>
      <c r="O7" s="76"/>
      <c r="P7" s="76"/>
      <c r="Q7" s="76"/>
      <c r="R7" s="76"/>
      <c r="S7" s="6"/>
    </row>
    <row r="8" spans="1:19" ht="35.450000000000003" customHeight="1" x14ac:dyDescent="0.25">
      <c r="A8" s="67"/>
      <c r="B8" s="73">
        <v>2</v>
      </c>
      <c r="C8" s="172" t="s">
        <v>133</v>
      </c>
      <c r="D8" s="173"/>
      <c r="E8" s="173"/>
      <c r="F8" s="174"/>
      <c r="G8" s="156">
        <v>2020</v>
      </c>
      <c r="H8" s="88" t="s">
        <v>128</v>
      </c>
      <c r="I8" s="67"/>
      <c r="J8" s="67"/>
      <c r="K8" s="67"/>
      <c r="L8" s="76"/>
      <c r="M8" s="76"/>
      <c r="N8" s="76"/>
      <c r="O8" s="76"/>
      <c r="P8" s="76"/>
      <c r="Q8" s="76"/>
      <c r="R8" s="76"/>
      <c r="S8" s="6"/>
    </row>
    <row r="9" spans="1:19" ht="47.45" customHeight="1" x14ac:dyDescent="0.25">
      <c r="A9" s="67"/>
      <c r="B9" s="73">
        <v>3</v>
      </c>
      <c r="C9" s="172" t="s">
        <v>129</v>
      </c>
      <c r="D9" s="173"/>
      <c r="E9" s="173"/>
      <c r="F9" s="174"/>
      <c r="G9" s="155" t="s">
        <v>125</v>
      </c>
      <c r="H9" s="88"/>
      <c r="I9" s="67"/>
      <c r="J9" s="67"/>
      <c r="K9" s="67"/>
      <c r="L9" s="76"/>
      <c r="M9" s="76"/>
      <c r="N9" s="76"/>
      <c r="O9" s="76"/>
      <c r="P9" s="76"/>
      <c r="Q9" s="76"/>
      <c r="R9" s="76"/>
      <c r="S9" s="6"/>
    </row>
    <row r="10" spans="1:19" ht="68.25" customHeight="1" x14ac:dyDescent="0.25">
      <c r="A10" s="67"/>
      <c r="B10" s="74">
        <v>4</v>
      </c>
      <c r="C10" s="172" t="s">
        <v>130</v>
      </c>
      <c r="D10" s="173"/>
      <c r="E10" s="173"/>
      <c r="F10" s="174"/>
      <c r="G10" s="161">
        <f>INDEX('ARR Rates'!$H$10:$L$13,MATCH('ARR CSG Calculator Cover'!$G$9,'ARR Rates'!$H$10:$H$13,0),MATCH('ARR CSG Calculator Cover'!$G$8,'ARR Rates'!$H$10:$L$10,0))</f>
        <v>0.13539999999999999</v>
      </c>
      <c r="H10" s="89" t="s">
        <v>3</v>
      </c>
      <c r="I10" s="67"/>
      <c r="J10" s="76"/>
      <c r="K10" s="160"/>
      <c r="L10" s="76"/>
      <c r="M10" s="76"/>
      <c r="N10" s="76"/>
      <c r="O10" s="76"/>
      <c r="P10" s="76"/>
      <c r="Q10" s="76"/>
      <c r="R10" s="76"/>
      <c r="S10" s="6"/>
    </row>
    <row r="11" spans="1:19" ht="35.450000000000003" customHeight="1" x14ac:dyDescent="0.25">
      <c r="A11" s="67"/>
      <c r="B11" s="74">
        <v>5</v>
      </c>
      <c r="C11" s="172" t="s">
        <v>29</v>
      </c>
      <c r="D11" s="185"/>
      <c r="E11" s="185"/>
      <c r="F11" s="186"/>
      <c r="G11" s="107">
        <v>0.02</v>
      </c>
      <c r="H11" s="89" t="s">
        <v>3</v>
      </c>
      <c r="I11" s="67"/>
      <c r="J11" s="67"/>
      <c r="K11" s="67"/>
      <c r="L11" s="76"/>
      <c r="M11" s="76"/>
      <c r="N11" s="76"/>
      <c r="O11" s="76"/>
      <c r="P11" s="76"/>
      <c r="Q11" s="76"/>
      <c r="R11" s="76"/>
      <c r="S11" s="6"/>
    </row>
    <row r="12" spans="1:19" ht="35.450000000000003" customHeight="1" x14ac:dyDescent="0.25">
      <c r="A12" s="67"/>
      <c r="B12" s="74">
        <v>6</v>
      </c>
      <c r="C12" s="184" t="s">
        <v>57</v>
      </c>
      <c r="D12" s="173"/>
      <c r="E12" s="173"/>
      <c r="F12" s="174"/>
      <c r="G12" s="108">
        <v>0.13</v>
      </c>
      <c r="H12" s="89" t="s">
        <v>3</v>
      </c>
      <c r="I12" s="67"/>
      <c r="J12" s="67"/>
      <c r="K12" s="67"/>
      <c r="L12" s="76"/>
      <c r="M12" s="76"/>
      <c r="N12" s="76"/>
      <c r="O12" s="76"/>
      <c r="P12" s="76"/>
      <c r="Q12" s="76"/>
      <c r="R12" s="76"/>
      <c r="S12" s="6"/>
    </row>
    <row r="13" spans="1:19" ht="35.450000000000003" customHeight="1" x14ac:dyDescent="0.25">
      <c r="A13" s="67"/>
      <c r="B13" s="74">
        <v>7</v>
      </c>
      <c r="C13" s="184" t="s">
        <v>4</v>
      </c>
      <c r="D13" s="173"/>
      <c r="E13" s="173"/>
      <c r="F13" s="174"/>
      <c r="G13" s="86">
        <v>2.75E-2</v>
      </c>
      <c r="H13" s="89" t="s">
        <v>5</v>
      </c>
      <c r="I13" s="67"/>
      <c r="J13" s="67"/>
      <c r="K13" s="67"/>
      <c r="L13" s="76"/>
      <c r="M13" s="76"/>
      <c r="N13" s="76"/>
      <c r="O13" s="76"/>
      <c r="P13" s="76"/>
      <c r="Q13" s="76"/>
      <c r="R13" s="76"/>
      <c r="S13" s="6"/>
    </row>
    <row r="14" spans="1:19" ht="48.75" customHeight="1" x14ac:dyDescent="0.25">
      <c r="A14" s="67"/>
      <c r="B14" s="74">
        <v>8</v>
      </c>
      <c r="C14" s="172" t="s">
        <v>114</v>
      </c>
      <c r="D14" s="185"/>
      <c r="E14" s="185"/>
      <c r="F14" s="186"/>
      <c r="G14" s="87">
        <v>2.75E-2</v>
      </c>
      <c r="H14" s="89" t="s">
        <v>5</v>
      </c>
      <c r="I14" s="67"/>
      <c r="J14" s="67"/>
      <c r="K14" s="67"/>
      <c r="L14" s="76"/>
      <c r="M14" s="76"/>
      <c r="N14" s="76"/>
      <c r="O14" s="76"/>
      <c r="P14" s="76"/>
      <c r="Q14" s="76"/>
      <c r="R14" s="76"/>
      <c r="S14" s="6"/>
    </row>
    <row r="15" spans="1:19" x14ac:dyDescent="0.25">
      <c r="A15" s="67"/>
      <c r="B15" s="67"/>
      <c r="C15" s="67"/>
      <c r="D15" s="67"/>
      <c r="E15" s="67"/>
      <c r="F15" s="67"/>
      <c r="G15" s="67"/>
      <c r="H15" s="67"/>
      <c r="I15" s="67"/>
      <c r="J15" s="67"/>
      <c r="K15" s="67"/>
      <c r="L15" s="76"/>
      <c r="M15" s="76"/>
      <c r="N15" s="76"/>
      <c r="O15" s="76"/>
      <c r="P15" s="76"/>
      <c r="Q15" s="76"/>
      <c r="R15" s="76"/>
      <c r="S15" s="6"/>
    </row>
    <row r="16" spans="1:19" ht="19.149999999999999" customHeight="1" x14ac:dyDescent="0.25">
      <c r="A16" s="67"/>
      <c r="B16" s="181" t="s">
        <v>116</v>
      </c>
      <c r="C16" s="182"/>
      <c r="D16" s="182"/>
      <c r="E16" s="182"/>
      <c r="F16" s="182"/>
      <c r="G16" s="182"/>
      <c r="H16" s="183"/>
      <c r="I16" s="67"/>
      <c r="J16" s="67"/>
      <c r="K16" s="67"/>
      <c r="L16" s="76"/>
      <c r="M16" s="76"/>
      <c r="N16" s="76"/>
      <c r="O16" s="76"/>
      <c r="P16" s="76"/>
      <c r="Q16" s="76"/>
      <c r="R16" s="76"/>
      <c r="S16" s="6"/>
    </row>
    <row r="17" spans="1:19" ht="35.450000000000003" customHeight="1" x14ac:dyDescent="0.25">
      <c r="A17" s="67"/>
      <c r="B17" s="162" t="s">
        <v>61</v>
      </c>
      <c r="C17" s="162"/>
      <c r="D17" s="162"/>
      <c r="E17" s="162"/>
      <c r="F17" s="162"/>
      <c r="G17" s="99">
        <f>'system size'!B7</f>
        <v>8.1988718352354724</v>
      </c>
      <c r="H17" s="90" t="s">
        <v>46</v>
      </c>
      <c r="I17" s="67"/>
      <c r="J17" s="67"/>
      <c r="K17" s="67"/>
      <c r="L17" s="76"/>
      <c r="M17" s="76"/>
      <c r="N17" s="76"/>
      <c r="O17" s="76"/>
      <c r="P17" s="76"/>
      <c r="Q17" s="76"/>
      <c r="R17" s="76"/>
      <c r="S17" s="6"/>
    </row>
    <row r="18" spans="1:19" ht="35.450000000000003" customHeight="1" x14ac:dyDescent="0.25">
      <c r="A18" s="67"/>
      <c r="B18" s="162" t="s">
        <v>53</v>
      </c>
      <c r="C18" s="162"/>
      <c r="D18" s="162"/>
      <c r="E18" s="162"/>
      <c r="F18" s="162"/>
      <c r="G18" s="100">
        <v>300</v>
      </c>
      <c r="H18" s="90" t="s">
        <v>56</v>
      </c>
      <c r="I18" s="67"/>
      <c r="J18" s="67"/>
      <c r="K18" s="67"/>
      <c r="L18" s="76"/>
      <c r="M18" s="76"/>
      <c r="N18" s="76"/>
      <c r="O18" s="76"/>
      <c r="P18" s="76"/>
      <c r="Q18" s="76"/>
      <c r="R18" s="76"/>
      <c r="S18" s="6"/>
    </row>
    <row r="19" spans="1:19" ht="35.450000000000003" customHeight="1" x14ac:dyDescent="0.25">
      <c r="A19" s="67"/>
      <c r="B19" s="162" t="s">
        <v>32</v>
      </c>
      <c r="C19" s="162"/>
      <c r="D19" s="162"/>
      <c r="E19" s="162"/>
      <c r="F19" s="162"/>
      <c r="G19" s="101">
        <f>(G17*1000)/G18</f>
        <v>27.329572784118238</v>
      </c>
      <c r="H19" s="90" t="s">
        <v>33</v>
      </c>
      <c r="I19" s="67"/>
      <c r="J19" s="67"/>
      <c r="K19" s="67"/>
      <c r="L19" s="76"/>
      <c r="M19" s="76"/>
      <c r="N19" s="76"/>
      <c r="O19" s="76"/>
      <c r="P19" s="76"/>
      <c r="Q19" s="76"/>
      <c r="R19" s="76"/>
      <c r="S19" s="6"/>
    </row>
    <row r="20" spans="1:19" x14ac:dyDescent="0.25">
      <c r="A20" s="67"/>
      <c r="B20" s="67"/>
      <c r="C20" s="67"/>
      <c r="D20" s="67"/>
      <c r="E20" s="67"/>
      <c r="F20" s="67"/>
      <c r="G20" s="67"/>
      <c r="H20" s="67"/>
      <c r="I20" s="67"/>
      <c r="J20" s="67"/>
      <c r="K20" s="67"/>
      <c r="L20" s="76"/>
      <c r="M20" s="76"/>
      <c r="N20" s="76"/>
      <c r="O20" s="76"/>
      <c r="P20" s="76"/>
      <c r="Q20" s="76"/>
      <c r="R20" s="76"/>
      <c r="S20" s="6"/>
    </row>
    <row r="21" spans="1:19" ht="19.149999999999999" customHeight="1" x14ac:dyDescent="0.25">
      <c r="A21" s="67"/>
      <c r="B21" s="181" t="s">
        <v>117</v>
      </c>
      <c r="C21" s="182"/>
      <c r="D21" s="182"/>
      <c r="E21" s="182"/>
      <c r="F21" s="182"/>
      <c r="G21" s="182"/>
      <c r="H21" s="183"/>
      <c r="I21" s="68"/>
      <c r="J21" s="68"/>
      <c r="K21" s="68"/>
      <c r="L21" s="77"/>
      <c r="M21" s="77"/>
      <c r="N21" s="77"/>
      <c r="O21" s="76"/>
      <c r="P21" s="76"/>
      <c r="Q21" s="76"/>
      <c r="R21" s="76"/>
      <c r="S21" s="6"/>
    </row>
    <row r="22" spans="1:19" ht="51.6" customHeight="1" x14ac:dyDescent="0.25">
      <c r="A22" s="67"/>
      <c r="B22" s="190" t="s">
        <v>97</v>
      </c>
      <c r="C22" s="191"/>
      <c r="D22" s="191"/>
      <c r="E22" s="191"/>
      <c r="F22" s="191"/>
      <c r="G22" s="191"/>
      <c r="H22" s="192"/>
      <c r="I22" s="68"/>
      <c r="J22" s="68"/>
      <c r="K22" s="68"/>
      <c r="L22" s="77"/>
      <c r="M22" s="77"/>
      <c r="N22" s="77"/>
      <c r="O22" s="76"/>
      <c r="P22" s="76"/>
      <c r="Q22" s="76"/>
      <c r="R22" s="76"/>
      <c r="S22" s="6"/>
    </row>
    <row r="23" spans="1:19" ht="39" customHeight="1" x14ac:dyDescent="0.25">
      <c r="A23" s="67"/>
      <c r="B23" s="187" t="s">
        <v>99</v>
      </c>
      <c r="C23" s="188"/>
      <c r="D23" s="85" t="s">
        <v>24</v>
      </c>
      <c r="E23" s="85" t="s">
        <v>25</v>
      </c>
      <c r="F23" s="85" t="s">
        <v>26</v>
      </c>
      <c r="G23" s="85" t="s">
        <v>27</v>
      </c>
      <c r="H23" s="85" t="s">
        <v>28</v>
      </c>
      <c r="I23" s="75"/>
      <c r="J23" s="69"/>
      <c r="K23" s="69"/>
      <c r="L23" s="78"/>
      <c r="M23" s="78"/>
      <c r="N23" s="78"/>
      <c r="O23" s="76"/>
      <c r="P23" s="76"/>
      <c r="Q23" s="76"/>
      <c r="R23" s="76"/>
      <c r="S23" s="6"/>
    </row>
    <row r="24" spans="1:19" ht="39" customHeight="1" x14ac:dyDescent="0.25">
      <c r="A24" s="67"/>
      <c r="B24" s="189"/>
      <c r="C24" s="188"/>
      <c r="D24" s="109">
        <f>'PAYASGO '!$E$19</f>
        <v>21.682462334029946</v>
      </c>
      <c r="E24" s="109">
        <f>'PAYASGO '!$E$24</f>
        <v>22.411123743689004</v>
      </c>
      <c r="F24" s="109">
        <f>'PAYASGO '!$E$29</f>
        <v>23.245640233007954</v>
      </c>
      <c r="G24" s="109">
        <f>'PAYASGO '!$E$34</f>
        <v>24.201389723393412</v>
      </c>
      <c r="H24" s="109">
        <f>'PAYASGO '!$E$39</f>
        <v>25.295984138319351</v>
      </c>
      <c r="I24" s="75"/>
      <c r="J24" s="69"/>
      <c r="K24" s="69"/>
      <c r="L24" s="78"/>
      <c r="M24" s="78"/>
      <c r="N24" s="78"/>
      <c r="O24" s="76"/>
      <c r="P24" s="76"/>
      <c r="Q24" s="76"/>
      <c r="R24" s="76"/>
      <c r="S24" s="6"/>
    </row>
    <row r="25" spans="1:19" ht="21.6" customHeight="1" x14ac:dyDescent="0.25">
      <c r="A25" s="67"/>
      <c r="B25" s="111"/>
      <c r="C25" s="111"/>
      <c r="D25" s="112"/>
      <c r="E25" s="112"/>
      <c r="F25" s="112"/>
      <c r="G25" s="112"/>
      <c r="H25" s="112"/>
      <c r="I25" s="75"/>
      <c r="J25" s="69"/>
      <c r="K25" s="69"/>
      <c r="L25" s="78"/>
      <c r="M25" s="78"/>
      <c r="N25" s="78"/>
      <c r="O25" s="76"/>
      <c r="P25" s="76"/>
      <c r="Q25" s="76"/>
      <c r="R25" s="76"/>
      <c r="S25" s="6"/>
    </row>
    <row r="26" spans="1:19" ht="19.149999999999999" customHeight="1" x14ac:dyDescent="0.25">
      <c r="A26" s="67"/>
      <c r="B26" s="181" t="s">
        <v>118</v>
      </c>
      <c r="C26" s="182"/>
      <c r="D26" s="182"/>
      <c r="E26" s="182"/>
      <c r="F26" s="182"/>
      <c r="G26" s="182"/>
      <c r="H26" s="183"/>
      <c r="I26" s="68"/>
      <c r="J26" s="68"/>
      <c r="K26" s="68"/>
      <c r="L26" s="77"/>
      <c r="M26" s="77"/>
      <c r="N26" s="77"/>
      <c r="O26" s="76"/>
      <c r="P26" s="76"/>
      <c r="Q26" s="76"/>
      <c r="R26" s="76"/>
      <c r="S26" s="6"/>
    </row>
    <row r="27" spans="1:19" ht="45.6" customHeight="1" x14ac:dyDescent="0.25">
      <c r="A27" s="67"/>
      <c r="B27" s="190" t="s">
        <v>98</v>
      </c>
      <c r="C27" s="191"/>
      <c r="D27" s="191"/>
      <c r="E27" s="191"/>
      <c r="F27" s="191"/>
      <c r="G27" s="191"/>
      <c r="H27" s="192"/>
      <c r="I27" s="68"/>
      <c r="J27" s="68"/>
      <c r="K27" s="68"/>
      <c r="L27" s="77"/>
      <c r="M27" s="77"/>
      <c r="N27" s="77"/>
      <c r="O27" s="76"/>
      <c r="P27" s="76"/>
      <c r="Q27" s="76"/>
      <c r="R27" s="76"/>
      <c r="S27" s="6"/>
    </row>
    <row r="28" spans="1:19" ht="39" customHeight="1" x14ac:dyDescent="0.25">
      <c r="A28" s="67"/>
      <c r="B28" s="187" t="s">
        <v>100</v>
      </c>
      <c r="C28" s="188"/>
      <c r="D28" s="85" t="s">
        <v>63</v>
      </c>
      <c r="E28" s="85" t="s">
        <v>64</v>
      </c>
      <c r="F28" s="85" t="s">
        <v>65</v>
      </c>
      <c r="G28" s="85" t="s">
        <v>66</v>
      </c>
      <c r="H28" s="85" t="s">
        <v>67</v>
      </c>
      <c r="I28" s="67"/>
      <c r="J28" s="67"/>
      <c r="K28" s="67"/>
      <c r="L28" s="76"/>
      <c r="M28" s="76"/>
      <c r="N28" s="76"/>
      <c r="O28" s="76"/>
      <c r="P28" s="76"/>
      <c r="Q28" s="76"/>
      <c r="R28" s="76"/>
      <c r="S28" s="6"/>
    </row>
    <row r="29" spans="1:19" ht="39" customHeight="1" x14ac:dyDescent="0.25">
      <c r="A29" s="16"/>
      <c r="B29" s="193"/>
      <c r="C29" s="194"/>
      <c r="D29" s="141">
        <f>Breakdown!I17</f>
        <v>1272.3987020177917</v>
      </c>
      <c r="E29" s="141">
        <f>Breakdown!I22</f>
        <v>2553.30646724392</v>
      </c>
      <c r="F29" s="141">
        <f>Breakdown!I27</f>
        <v>3847.1900361598769</v>
      </c>
      <c r="G29" s="141">
        <f>Breakdown!I32</f>
        <v>5158.9524975988134</v>
      </c>
      <c r="H29" s="141">
        <f>Breakdown!I37</f>
        <v>6493.9864363004472</v>
      </c>
      <c r="J29" s="16"/>
      <c r="K29" s="16"/>
      <c r="L29" s="6"/>
      <c r="M29" s="6"/>
      <c r="N29" s="6"/>
      <c r="O29" s="6"/>
      <c r="P29" s="6"/>
      <c r="Q29" s="6"/>
      <c r="R29" s="6"/>
      <c r="S29" s="6"/>
    </row>
    <row r="30" spans="1:19" s="38" customFormat="1" ht="23.45" customHeight="1" x14ac:dyDescent="0.25">
      <c r="B30" s="110"/>
      <c r="C30" s="110"/>
    </row>
    <row r="31" spans="1:19" ht="15.75" x14ac:dyDescent="0.25">
      <c r="A31" s="16"/>
      <c r="B31" s="175" t="s">
        <v>14</v>
      </c>
      <c r="C31" s="176"/>
      <c r="D31" s="176"/>
      <c r="E31" s="176"/>
      <c r="F31" s="176"/>
      <c r="G31" s="176"/>
      <c r="H31" s="176"/>
      <c r="I31" s="177"/>
      <c r="J31" s="16"/>
      <c r="K31" s="16"/>
    </row>
    <row r="32" spans="1:19" x14ac:dyDescent="0.25">
      <c r="A32" s="16"/>
      <c r="J32" s="16"/>
      <c r="K32" s="16"/>
    </row>
    <row r="33" spans="1:11" x14ac:dyDescent="0.25">
      <c r="A33" s="16"/>
      <c r="J33" s="16"/>
      <c r="K33" s="16"/>
    </row>
    <row r="34" spans="1:11" x14ac:dyDescent="0.25">
      <c r="A34" s="16"/>
      <c r="J34" s="16"/>
      <c r="K34" s="16"/>
    </row>
    <row r="35" spans="1:11" x14ac:dyDescent="0.25">
      <c r="A35" s="16"/>
      <c r="J35" s="16"/>
      <c r="K35" s="16"/>
    </row>
    <row r="36" spans="1:11" x14ac:dyDescent="0.25">
      <c r="A36" s="16"/>
      <c r="J36" s="16"/>
      <c r="K36" s="16"/>
    </row>
    <row r="37" spans="1:11" x14ac:dyDescent="0.25">
      <c r="A37" s="16"/>
      <c r="J37" s="16"/>
      <c r="K37" s="16"/>
    </row>
    <row r="38" spans="1:11" x14ac:dyDescent="0.25">
      <c r="A38" s="16"/>
      <c r="J38" s="16"/>
      <c r="K38" s="16"/>
    </row>
    <row r="39" spans="1:11" x14ac:dyDescent="0.25">
      <c r="A39" s="16"/>
      <c r="J39" s="16"/>
      <c r="K39" s="16"/>
    </row>
    <row r="40" spans="1:11" x14ac:dyDescent="0.25">
      <c r="A40" s="16"/>
      <c r="J40" s="16"/>
      <c r="K40" s="16"/>
    </row>
    <row r="41" spans="1:11" x14ac:dyDescent="0.25">
      <c r="A41" s="16"/>
      <c r="J41" s="16"/>
      <c r="K41" s="16"/>
    </row>
    <row r="42" spans="1:11" x14ac:dyDescent="0.25">
      <c r="A42" s="16"/>
      <c r="J42" s="16"/>
      <c r="K42" s="16"/>
    </row>
    <row r="43" spans="1:11" x14ac:dyDescent="0.25">
      <c r="A43" s="16"/>
      <c r="J43" s="16"/>
      <c r="K43" s="16"/>
    </row>
    <row r="44" spans="1:11" x14ac:dyDescent="0.25">
      <c r="A44" s="16"/>
      <c r="J44" s="16"/>
      <c r="K44" s="16"/>
    </row>
    <row r="45" spans="1:11" x14ac:dyDescent="0.25">
      <c r="A45" s="16"/>
      <c r="J45" s="16"/>
      <c r="K45" s="16"/>
    </row>
    <row r="46" spans="1:11" x14ac:dyDescent="0.25">
      <c r="A46" s="16"/>
      <c r="J46" s="16"/>
      <c r="K46" s="16"/>
    </row>
    <row r="47" spans="1:11" x14ac:dyDescent="0.25">
      <c r="A47" s="16"/>
      <c r="J47" s="16"/>
      <c r="K47" s="16"/>
    </row>
    <row r="48" spans="1:11" x14ac:dyDescent="0.25">
      <c r="A48" s="16"/>
      <c r="J48" s="16"/>
      <c r="K48" s="16"/>
    </row>
    <row r="49" spans="1:11" x14ac:dyDescent="0.25">
      <c r="A49" s="16"/>
      <c r="B49" s="16"/>
      <c r="C49" s="16"/>
      <c r="D49" s="16"/>
      <c r="E49" s="16"/>
      <c r="F49" s="16"/>
      <c r="G49" s="16"/>
      <c r="H49" s="16"/>
      <c r="I49" s="16"/>
      <c r="J49" s="16"/>
      <c r="K49" s="16"/>
    </row>
    <row r="50" spans="1:11" ht="338.45" customHeight="1" x14ac:dyDescent="0.25">
      <c r="A50" s="16"/>
      <c r="B50" s="16"/>
      <c r="C50" s="16"/>
      <c r="D50" s="16"/>
      <c r="E50" s="16"/>
      <c r="F50" s="16"/>
      <c r="G50" s="16"/>
      <c r="H50" s="16"/>
      <c r="I50" s="16"/>
      <c r="J50" s="16"/>
      <c r="K50" s="16"/>
    </row>
    <row r="51" spans="1:11" x14ac:dyDescent="0.25">
      <c r="A51" s="6"/>
      <c r="B51" s="6"/>
      <c r="C51" s="6"/>
      <c r="D51" s="6"/>
      <c r="E51" s="6"/>
      <c r="F51" s="6"/>
      <c r="G51" s="6"/>
      <c r="H51" s="6"/>
      <c r="I51" s="6"/>
      <c r="J51" s="6"/>
      <c r="K51" s="6"/>
    </row>
    <row r="52" spans="1:11" x14ac:dyDescent="0.25">
      <c r="A52" s="6"/>
      <c r="B52" s="6"/>
      <c r="C52" s="6"/>
      <c r="D52" s="6"/>
      <c r="E52" s="6"/>
      <c r="F52" s="6"/>
      <c r="G52" s="6"/>
      <c r="H52" s="6"/>
      <c r="I52" s="6"/>
      <c r="J52" s="6"/>
      <c r="K52" s="6"/>
    </row>
    <row r="53" spans="1:11" x14ac:dyDescent="0.25">
      <c r="A53" s="6"/>
      <c r="B53" s="6"/>
      <c r="C53" s="6"/>
      <c r="D53" s="6"/>
      <c r="E53" s="6"/>
      <c r="F53" s="6"/>
      <c r="G53" s="6"/>
      <c r="H53" s="6"/>
      <c r="I53" s="6"/>
      <c r="J53" s="6"/>
      <c r="K53" s="6"/>
    </row>
    <row r="54" spans="1:11" x14ac:dyDescent="0.25">
      <c r="A54" s="6"/>
      <c r="B54" s="6"/>
      <c r="C54" s="6"/>
      <c r="D54" s="6"/>
      <c r="E54" s="6"/>
      <c r="F54" s="6"/>
      <c r="G54" s="6"/>
      <c r="H54" s="6"/>
      <c r="I54" s="6"/>
      <c r="J54" s="6"/>
      <c r="K54" s="6"/>
    </row>
    <row r="55" spans="1:11" x14ac:dyDescent="0.25">
      <c r="A55" s="6"/>
      <c r="B55" s="6"/>
      <c r="C55" s="6"/>
      <c r="D55" s="6"/>
      <c r="E55" s="6"/>
      <c r="F55" s="6"/>
      <c r="G55" s="6"/>
      <c r="H55" s="6"/>
      <c r="I55" s="6"/>
      <c r="J55" s="6"/>
      <c r="K55" s="6"/>
    </row>
  </sheetData>
  <mergeCells count="23">
    <mergeCell ref="B31:I31"/>
    <mergeCell ref="C7:F7"/>
    <mergeCell ref="B6:F6"/>
    <mergeCell ref="C13:F13"/>
    <mergeCell ref="C11:F11"/>
    <mergeCell ref="C10:F10"/>
    <mergeCell ref="B21:H21"/>
    <mergeCell ref="B23:C24"/>
    <mergeCell ref="B22:H22"/>
    <mergeCell ref="C14:F14"/>
    <mergeCell ref="B16:H16"/>
    <mergeCell ref="C12:F12"/>
    <mergeCell ref="B28:C29"/>
    <mergeCell ref="B26:H26"/>
    <mergeCell ref="B27:H27"/>
    <mergeCell ref="B17:F17"/>
    <mergeCell ref="B18:F18"/>
    <mergeCell ref="B19:F19"/>
    <mergeCell ref="B2:H2"/>
    <mergeCell ref="B3:H3"/>
    <mergeCell ref="B4:H4"/>
    <mergeCell ref="C9:F9"/>
    <mergeCell ref="C8:F8"/>
  </mergeCells>
  <dataValidations count="15">
    <dataValidation allowBlank="1" showInputMessage="1" showErrorMessage="1" promptTitle="Hint" prompt="This is your chance to project potential rates of escalation of electricity prices for the next 25 years." sqref="C14:F14"/>
    <dataValidation allowBlank="1" showInputMessage="1" showErrorMessage="1" promptTitle="Hint" prompt="The percentage that your subscription cost with the CSG Operator will increase each year to account for inflation. Operators should be able to share this number with you. Generally, you will be offered a subscription that will go up between 1-3% annually." sqref="C13:F13"/>
    <dataValidation allowBlank="1" showInputMessage="1" showErrorMessage="1" promptTitle="Hint" prompt="This is the rate for REC and is based on the size of the CSG. If you're not sure, leave at $0.020" sqref="C11:F11"/>
    <dataValidation allowBlank="1" showInputMessage="1" showErrorMessage="1" promptTitle="Hint" prompt="The average MN household uses 9600 kWh/year. Change this to match your usage. Use energy bills or login to your account to find numbers. For a simpler estimate, adjust this by 2400kWh. If you use less than average try 7200kWh; more try 12000kWh." sqref="C7:F7"/>
    <dataValidation allowBlank="1" showInputMessage="1" showErrorMessage="1" promptTitle="Hint" prompt="This is the payment you get from Xcel for the solar your share of the CSG produces. It is the same as your current electric rate and can be found on your energy bill. This tool assumes you will be paid back the same amount per kWh that you pay." sqref="C10:F10"/>
    <dataValidation errorStyle="information" operator="equal" allowBlank="1" showErrorMessage="1" errorTitle="NOTE" error="The value you have entered does not match one of the three 2017 ARR Bill Credit Rates" sqref="G10"/>
    <dataValidation type="whole" operator="greaterThan" allowBlank="1" showInputMessage="1" showErrorMessage="1" promptTitle="Editable" prompt="You can change this to adjust the size of your desired CSG subscription. Many people use their average monthly kWh electricity usage." sqref="G7">
      <formula1>1</formula1>
    </dataValidation>
    <dataValidation type="decimal" allowBlank="1" showInputMessage="1" showErrorMessage="1" promptTitle="Editable" prompt="Type in a value between 0% and 5% to adjust the rate that the CSG Operator will increase your subscription cost each year for inflation. You can ask the Developer/Operator for this value." sqref="G13">
      <formula1>0</formula1>
      <formula2>0.05</formula2>
    </dataValidation>
    <dataValidation allowBlank="1" showInputMessage="1" showErrorMessage="1" promptTitle="Editable" prompt="This is your chance to project potential rates of escalation of electricity prices for the next 25 years." sqref="G14"/>
    <dataValidation type="list" operator="greaterThan" showInputMessage="1" showErrorMessage="1" promptTitle="Choose size" prompt="You can pick the panel size being used in the garden. If you don't know, ask the developer." sqref="G18">
      <formula1>size</formula1>
    </dataValidation>
    <dataValidation allowBlank="1" showInputMessage="1" showErrorMessage="1" promptTitle="Not Editable" prompt="This is based on the yearly kWh you indicated above." sqref="G17"/>
    <dataValidation allowBlank="1" showInputMessage="1" showErrorMessage="1" promptTitle="Not Editable" prompt="This is how many panels your subscription would be based on the subscription size in kW and panel size." sqref="G19"/>
    <dataValidation allowBlank="1" showInputMessage="1" showErrorMessage="1" promptTitle="Hint" prompt="The starting rate that you will pay per kWh to the solar garden operator. Operators should be able to share this number with you. This amount will then increase each year according to the escalation rate below." sqref="C12:F12"/>
    <dataValidation type="decimal" operator="greaterThan" showInputMessage="1" showErrorMessage="1" promptTitle="Editable" prompt="Type in a Solar Subscription Rate here. Most CSG proposals/contracts should include one. " sqref="G12">
      <formula1>0</formula1>
    </dataValidation>
    <dataValidation allowBlank="1" showErrorMessage="1" sqref="C8:F9"/>
  </dataValidations>
  <pageMargins left="0.2" right="0.2" top="0.25" bottom="0.25" header="0" footer="0"/>
  <pageSetup scale="9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Choose rate" prompt="Choose the REC for the size of CSG. $.02 for gardens greater than 250 kW or $.03 for gardens less than or equal to 250 kW. If you're not sure, leave at $.02.">
          <x14:formula1>
            <xm:f>'ARR Rates'!$B$4:$B$6</xm:f>
          </x14:formula1>
          <xm:sqref>G11</xm:sqref>
        </x14:dataValidation>
        <x14:dataValidation type="list" operator="greaterThan" allowBlank="1" showErrorMessage="1">
          <x14:formula1>
            <xm:f>'ARR Rates'!$I$10:$L$10</xm:f>
          </x14:formula1>
          <xm:sqref>G8</xm:sqref>
        </x14:dataValidation>
        <x14:dataValidation type="list" operator="greaterThan" allowBlank="1" showErrorMessage="1">
          <x14:formula1>
            <xm:f>'ARR Rates'!$H$11:$H$13</xm:f>
          </x14:formula1>
          <xm:sqref>G9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31"/>
  <sheetViews>
    <sheetView workbookViewId="0">
      <selection activeCell="I17" sqref="I17"/>
    </sheetView>
  </sheetViews>
  <sheetFormatPr defaultRowHeight="15" x14ac:dyDescent="0.25"/>
  <cols>
    <col min="1" max="1" width="32.5703125" customWidth="1"/>
    <col min="2" max="5" width="21" customWidth="1"/>
    <col min="8" max="8" width="18.7109375" customWidth="1"/>
    <col min="9" max="11" width="9" bestFit="1" customWidth="1"/>
    <col min="12" max="12" width="10" bestFit="1" customWidth="1"/>
  </cols>
  <sheetData>
    <row r="1" spans="1:12" x14ac:dyDescent="0.25">
      <c r="A1" s="197" t="s">
        <v>15</v>
      </c>
      <c r="B1" s="80">
        <v>0.1331</v>
      </c>
      <c r="C1" s="199" t="s">
        <v>16</v>
      </c>
      <c r="D1" s="199"/>
      <c r="E1" s="199"/>
      <c r="F1" s="199"/>
      <c r="G1" s="200"/>
      <c r="K1" t="s">
        <v>131</v>
      </c>
    </row>
    <row r="2" spans="1:12" x14ac:dyDescent="0.25">
      <c r="A2" s="197"/>
      <c r="B2" s="81">
        <v>0.12798000000000001</v>
      </c>
      <c r="C2" s="201" t="s">
        <v>17</v>
      </c>
      <c r="D2" s="201"/>
      <c r="E2" s="201"/>
      <c r="F2" s="201"/>
      <c r="G2" s="202"/>
    </row>
    <row r="3" spans="1:12" ht="15.75" thickBot="1" x14ac:dyDescent="0.3">
      <c r="A3" s="198"/>
      <c r="B3" s="82">
        <v>0.10296</v>
      </c>
      <c r="C3" s="203" t="s">
        <v>18</v>
      </c>
      <c r="D3" s="203"/>
      <c r="E3" s="203"/>
      <c r="F3" s="203"/>
      <c r="G3" s="204"/>
    </row>
    <row r="4" spans="1:12" x14ac:dyDescent="0.25">
      <c r="A4" s="205" t="s">
        <v>19</v>
      </c>
      <c r="B4" s="106">
        <v>0</v>
      </c>
      <c r="C4" s="208" t="s">
        <v>20</v>
      </c>
      <c r="D4" s="208"/>
      <c r="E4" s="208"/>
      <c r="F4" s="208"/>
      <c r="G4" s="209"/>
    </row>
    <row r="5" spans="1:12" x14ac:dyDescent="0.25">
      <c r="A5" s="206"/>
      <c r="B5" s="83">
        <v>0.02</v>
      </c>
      <c r="C5" s="210" t="s">
        <v>21</v>
      </c>
      <c r="D5" s="210"/>
      <c r="E5" s="210"/>
      <c r="F5" s="210"/>
      <c r="G5" s="211"/>
    </row>
    <row r="6" spans="1:12" ht="15.75" thickBot="1" x14ac:dyDescent="0.3">
      <c r="A6" s="207"/>
      <c r="B6" s="84">
        <v>0.03</v>
      </c>
      <c r="C6" s="212" t="s">
        <v>22</v>
      </c>
      <c r="D6" s="212"/>
      <c r="E6" s="212"/>
      <c r="F6" s="212"/>
      <c r="G6" s="213"/>
    </row>
    <row r="9" spans="1:12" x14ac:dyDescent="0.25">
      <c r="A9" s="143" t="s">
        <v>113</v>
      </c>
      <c r="B9" s="145"/>
      <c r="C9" s="145"/>
      <c r="D9" s="145"/>
      <c r="E9" s="145"/>
      <c r="H9" s="195" t="s">
        <v>106</v>
      </c>
      <c r="I9" s="195"/>
      <c r="J9" s="195"/>
      <c r="K9" s="195"/>
    </row>
    <row r="10" spans="1:12" ht="45" x14ac:dyDescent="0.25">
      <c r="A10" s="146"/>
      <c r="B10" s="143" t="s">
        <v>106</v>
      </c>
      <c r="C10" s="143" t="s">
        <v>108</v>
      </c>
      <c r="D10" s="143" t="s">
        <v>109</v>
      </c>
      <c r="E10" s="143" t="s">
        <v>107</v>
      </c>
      <c r="H10" s="152"/>
      <c r="I10" s="152">
        <v>2017</v>
      </c>
      <c r="J10" s="152">
        <v>2018</v>
      </c>
      <c r="K10" s="152">
        <v>2019</v>
      </c>
      <c r="L10" s="158">
        <v>2020</v>
      </c>
    </row>
    <row r="11" spans="1:12" x14ac:dyDescent="0.25">
      <c r="A11" s="146" t="s">
        <v>103</v>
      </c>
      <c r="B11" s="144">
        <v>0.1331</v>
      </c>
      <c r="C11" s="144">
        <f>B11+0.02</f>
        <v>0.15309999999999999</v>
      </c>
      <c r="D11" s="144">
        <f>B11+0.03</f>
        <v>0.16309999999999999</v>
      </c>
      <c r="E11" s="196">
        <v>0.1033</v>
      </c>
      <c r="H11" s="153" t="s">
        <v>125</v>
      </c>
      <c r="I11" s="157">
        <f>B11</f>
        <v>0.1331</v>
      </c>
      <c r="J11" s="157">
        <f>'ARR Rates'!B20</f>
        <v>0.13539000000000001</v>
      </c>
      <c r="K11" s="157">
        <f>B28</f>
        <v>0.13583000000000001</v>
      </c>
      <c r="L11" s="159">
        <v>0.13539999999999999</v>
      </c>
    </row>
    <row r="12" spans="1:12" x14ac:dyDescent="0.25">
      <c r="A12" s="146" t="s">
        <v>104</v>
      </c>
      <c r="B12" s="144">
        <v>0.12798000000000001</v>
      </c>
      <c r="C12" s="144">
        <f>B12+0.02</f>
        <v>0.14798</v>
      </c>
      <c r="D12" s="144">
        <f>B12+0.03</f>
        <v>0.15798000000000001</v>
      </c>
      <c r="E12" s="196"/>
      <c r="H12" s="153" t="s">
        <v>126</v>
      </c>
      <c r="I12" s="157">
        <f t="shared" ref="I12:I13" si="0">B12</f>
        <v>0.12798000000000001</v>
      </c>
      <c r="J12" s="157">
        <f>'ARR Rates'!B21</f>
        <v>0.12844</v>
      </c>
      <c r="K12" s="157">
        <f t="shared" ref="K12:K13" si="1">B29</f>
        <v>0.12509000000000001</v>
      </c>
      <c r="L12" s="159">
        <v>0.12634000000000001</v>
      </c>
    </row>
    <row r="13" spans="1:12" x14ac:dyDescent="0.25">
      <c r="A13" s="146" t="s">
        <v>105</v>
      </c>
      <c r="B13" s="144">
        <v>0.10296</v>
      </c>
      <c r="C13" s="144">
        <f>B13+0.02</f>
        <v>0.12296</v>
      </c>
      <c r="D13" s="144">
        <f>B13+0.03</f>
        <v>0.13295999999999999</v>
      </c>
      <c r="E13" s="196"/>
      <c r="H13" s="153" t="s">
        <v>127</v>
      </c>
      <c r="I13" s="157">
        <f t="shared" si="0"/>
        <v>0.10296</v>
      </c>
      <c r="J13" s="157">
        <f>'ARR Rates'!B22</f>
        <v>0.10514999999999999</v>
      </c>
      <c r="K13" s="157">
        <f t="shared" si="1"/>
        <v>0.10405</v>
      </c>
      <c r="L13" s="159">
        <v>0.1055</v>
      </c>
    </row>
    <row r="14" spans="1:12" ht="30" x14ac:dyDescent="0.25">
      <c r="A14" s="146" t="s">
        <v>110</v>
      </c>
      <c r="B14" s="147" t="s">
        <v>111</v>
      </c>
      <c r="C14" s="148" t="s">
        <v>112</v>
      </c>
      <c r="D14" s="148" t="s">
        <v>112</v>
      </c>
      <c r="E14" s="147" t="s">
        <v>112</v>
      </c>
      <c r="H14" s="154"/>
      <c r="I14" s="152"/>
      <c r="J14" s="152"/>
      <c r="K14" s="152"/>
    </row>
    <row r="18" spans="1:5" x14ac:dyDescent="0.25">
      <c r="A18" s="149" t="s">
        <v>120</v>
      </c>
      <c r="B18" s="145"/>
      <c r="C18" s="145"/>
      <c r="D18" s="145"/>
      <c r="E18" s="145"/>
    </row>
    <row r="19" spans="1:5" ht="45" x14ac:dyDescent="0.25">
      <c r="A19" s="146"/>
      <c r="B19" s="149" t="s">
        <v>106</v>
      </c>
      <c r="C19" s="149" t="s">
        <v>108</v>
      </c>
      <c r="D19" s="149" t="s">
        <v>109</v>
      </c>
      <c r="E19" s="149" t="s">
        <v>107</v>
      </c>
    </row>
    <row r="20" spans="1:5" x14ac:dyDescent="0.25">
      <c r="A20" s="146" t="s">
        <v>103</v>
      </c>
      <c r="B20" s="144">
        <v>0.13539000000000001</v>
      </c>
      <c r="C20" s="144">
        <f>B20+0.02</f>
        <v>0.15539</v>
      </c>
      <c r="D20" s="144">
        <f>B20+0.03</f>
        <v>0.16539000000000001</v>
      </c>
      <c r="E20" s="196" t="s">
        <v>121</v>
      </c>
    </row>
    <row r="21" spans="1:5" x14ac:dyDescent="0.25">
      <c r="A21" s="146" t="s">
        <v>104</v>
      </c>
      <c r="B21" s="144">
        <v>0.12844</v>
      </c>
      <c r="C21" s="144">
        <f>B21+0.02</f>
        <v>0.14843999999999999</v>
      </c>
      <c r="D21" s="144">
        <f>B21+0.03</f>
        <v>0.15844</v>
      </c>
      <c r="E21" s="196"/>
    </row>
    <row r="22" spans="1:5" x14ac:dyDescent="0.25">
      <c r="A22" s="146" t="s">
        <v>105</v>
      </c>
      <c r="B22" s="144">
        <v>0.10514999999999999</v>
      </c>
      <c r="C22" s="144">
        <f>B22+0.02</f>
        <v>0.12514999999999998</v>
      </c>
      <c r="D22" s="144">
        <f>B22+0.03</f>
        <v>0.13514999999999999</v>
      </c>
      <c r="E22" s="196"/>
    </row>
    <row r="23" spans="1:5" ht="30" x14ac:dyDescent="0.25">
      <c r="A23" s="146" t="s">
        <v>110</v>
      </c>
      <c r="B23" s="147" t="s">
        <v>111</v>
      </c>
      <c r="C23" s="148" t="s">
        <v>112</v>
      </c>
      <c r="D23" s="148" t="s">
        <v>112</v>
      </c>
      <c r="E23" s="147" t="s">
        <v>112</v>
      </c>
    </row>
    <row r="26" spans="1:5" x14ac:dyDescent="0.25">
      <c r="A26" s="149" t="s">
        <v>122</v>
      </c>
      <c r="B26" s="145"/>
      <c r="C26" s="145"/>
      <c r="D26" s="145"/>
      <c r="E26" s="145"/>
    </row>
    <row r="27" spans="1:5" ht="45" x14ac:dyDescent="0.25">
      <c r="A27" s="146"/>
      <c r="B27" s="149" t="s">
        <v>106</v>
      </c>
      <c r="C27" s="149" t="s">
        <v>108</v>
      </c>
      <c r="D27" s="149" t="s">
        <v>109</v>
      </c>
      <c r="E27" s="149" t="s">
        <v>107</v>
      </c>
    </row>
    <row r="28" spans="1:5" x14ac:dyDescent="0.25">
      <c r="A28" s="146" t="s">
        <v>103</v>
      </c>
      <c r="B28" s="144">
        <v>0.13583000000000001</v>
      </c>
      <c r="C28" s="144">
        <f>B28+0.02</f>
        <v>0.15583</v>
      </c>
      <c r="D28" s="144">
        <f>B28+0.03</f>
        <v>0.16583000000000001</v>
      </c>
      <c r="E28" s="196"/>
    </row>
    <row r="29" spans="1:5" x14ac:dyDescent="0.25">
      <c r="A29" s="146" t="s">
        <v>104</v>
      </c>
      <c r="B29" s="144">
        <v>0.12509000000000001</v>
      </c>
      <c r="C29" s="144">
        <f>B29+0.02</f>
        <v>0.14509</v>
      </c>
      <c r="D29" s="144">
        <f>B29+0.03</f>
        <v>0.15509000000000001</v>
      </c>
      <c r="E29" s="196"/>
    </row>
    <row r="30" spans="1:5" x14ac:dyDescent="0.25">
      <c r="A30" s="146" t="s">
        <v>105</v>
      </c>
      <c r="B30" s="144">
        <v>0.10405</v>
      </c>
      <c r="C30" s="144">
        <f>B30+0.02</f>
        <v>0.12405000000000001</v>
      </c>
      <c r="D30" s="144">
        <f>B30+0.03</f>
        <v>0.13405</v>
      </c>
      <c r="E30" s="196"/>
    </row>
    <row r="31" spans="1:5" ht="30" x14ac:dyDescent="0.25">
      <c r="A31" s="146" t="s">
        <v>110</v>
      </c>
      <c r="B31" s="147" t="s">
        <v>111</v>
      </c>
      <c r="C31" s="148" t="s">
        <v>112</v>
      </c>
      <c r="D31" s="148" t="s">
        <v>112</v>
      </c>
      <c r="E31" s="147" t="s">
        <v>112</v>
      </c>
    </row>
  </sheetData>
  <mergeCells count="12">
    <mergeCell ref="H9:K9"/>
    <mergeCell ref="E20:E22"/>
    <mergeCell ref="E28:E30"/>
    <mergeCell ref="E11:E13"/>
    <mergeCell ref="A1:A3"/>
    <mergeCell ref="C1:G1"/>
    <mergeCell ref="C2:G2"/>
    <mergeCell ref="C3:G3"/>
    <mergeCell ref="A4:A6"/>
    <mergeCell ref="C4:G4"/>
    <mergeCell ref="C5:G5"/>
    <mergeCell ref="C6:G6"/>
  </mergeCells>
  <hyperlinks>
    <hyperlink ref="A1:A3" r:id="rId1" display="* Starting Bill Credit rate ($/kWh) is determined by the billing rate listed on the bill for each premise (click here for a full list of eligible billing rates)"/>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45"/>
  <sheetViews>
    <sheetView topLeftCell="A7" zoomScale="110" zoomScaleNormal="110" workbookViewId="0">
      <selection activeCell="E15" sqref="E15"/>
    </sheetView>
  </sheetViews>
  <sheetFormatPr defaultRowHeight="15" x14ac:dyDescent="0.25"/>
  <cols>
    <col min="1" max="1" width="6.42578125" customWidth="1"/>
    <col min="2" max="3" width="12.5703125" customWidth="1"/>
    <col min="4" max="4" width="11.28515625" customWidth="1"/>
    <col min="5" max="5" width="16" customWidth="1"/>
    <col min="6" max="6" width="15.42578125" customWidth="1"/>
    <col min="7" max="7" width="15.7109375" customWidth="1"/>
    <col min="8" max="8" width="3" customWidth="1"/>
    <col min="9" max="9" width="11.42578125" customWidth="1"/>
    <col min="11" max="11" width="10" customWidth="1"/>
    <col min="12" max="12" width="10.7109375" customWidth="1"/>
    <col min="13" max="13" width="10.28515625" customWidth="1"/>
    <col min="14" max="15" width="11.28515625" customWidth="1"/>
    <col min="16" max="16" width="10.28515625" customWidth="1"/>
    <col min="17" max="17" width="11.28515625" customWidth="1"/>
    <col min="18" max="18" width="11.85546875" customWidth="1"/>
    <col min="19" max="19" width="10" customWidth="1"/>
    <col min="20" max="20" width="9.85546875" customWidth="1"/>
    <col min="21" max="21" width="11.42578125" bestFit="1" customWidth="1"/>
    <col min="22" max="22" width="12.5703125" customWidth="1"/>
    <col min="23" max="23" width="10.85546875" customWidth="1"/>
    <col min="26" max="26" width="9.7109375" customWidth="1"/>
    <col min="27" max="27" width="11" customWidth="1"/>
    <col min="29" max="29" width="11.5703125" customWidth="1"/>
    <col min="30" max="30" width="11.7109375" customWidth="1"/>
    <col min="31" max="31" width="11.140625" customWidth="1"/>
    <col min="33" max="33" width="11.42578125" customWidth="1"/>
    <col min="34" max="34" width="13.5703125" customWidth="1"/>
  </cols>
  <sheetData>
    <row r="1" spans="1:34" ht="16.5" thickBot="1" x14ac:dyDescent="0.3">
      <c r="A1" s="43"/>
      <c r="B1" s="44"/>
      <c r="C1" s="44"/>
      <c r="D1" s="44"/>
      <c r="E1" s="44"/>
      <c r="F1" s="43"/>
      <c r="G1" s="43"/>
      <c r="T1" s="16"/>
    </row>
    <row r="2" spans="1:34" ht="16.5" thickBot="1" x14ac:dyDescent="0.3">
      <c r="A2" s="43"/>
      <c r="B2" s="45" t="s">
        <v>62</v>
      </c>
      <c r="C2" s="45"/>
      <c r="D2" s="45"/>
      <c r="E2" s="45"/>
      <c r="F2" s="45"/>
      <c r="G2" s="65">
        <f>'ARR CSG Calculator Cover'!$G$7</f>
        <v>10000</v>
      </c>
      <c r="H2" s="1"/>
      <c r="J2" s="16"/>
      <c r="K2" s="19"/>
      <c r="L2" s="16"/>
      <c r="M2" s="16"/>
      <c r="N2" s="37"/>
      <c r="O2" s="38"/>
      <c r="P2" s="39"/>
      <c r="Q2" s="37"/>
      <c r="R2" s="37"/>
      <c r="S2" s="37"/>
      <c r="T2" s="38"/>
      <c r="U2" s="39"/>
      <c r="V2" s="37"/>
      <c r="W2" s="37"/>
      <c r="X2" s="37"/>
      <c r="Y2" s="38"/>
      <c r="Z2" s="37"/>
      <c r="AA2" s="38"/>
      <c r="AB2" s="38"/>
      <c r="AC2" s="37"/>
      <c r="AD2" s="16"/>
      <c r="AE2" s="21"/>
      <c r="AF2" s="19"/>
      <c r="AG2" s="22"/>
      <c r="AH2" s="16"/>
    </row>
    <row r="3" spans="1:34" ht="16.5" thickBot="1" x14ac:dyDescent="0.3">
      <c r="A3" s="43"/>
      <c r="B3" s="45" t="s">
        <v>9</v>
      </c>
      <c r="C3" s="45"/>
      <c r="D3" s="45"/>
      <c r="E3" s="45"/>
      <c r="F3" s="45"/>
      <c r="G3" s="65">
        <f>'ARR CSG Calculator Cover'!$G$10</f>
        <v>0.13539999999999999</v>
      </c>
      <c r="H3" s="5"/>
      <c r="J3" s="16"/>
      <c r="K3" s="19"/>
      <c r="L3" s="16"/>
      <c r="M3" s="16"/>
      <c r="N3" s="37"/>
      <c r="O3" s="38"/>
      <c r="P3" s="39"/>
      <c r="Q3" s="38"/>
      <c r="R3" s="38"/>
      <c r="S3" s="38"/>
      <c r="T3" s="38"/>
      <c r="U3" s="39"/>
      <c r="V3" s="37"/>
      <c r="W3" s="38"/>
      <c r="X3" s="37"/>
      <c r="Y3" s="38"/>
      <c r="Z3" s="37"/>
      <c r="AA3" s="38"/>
      <c r="AB3" s="38"/>
      <c r="AC3" s="37"/>
      <c r="AD3" s="16"/>
      <c r="AE3" s="21"/>
      <c r="AF3" s="16"/>
      <c r="AG3" s="16"/>
      <c r="AH3" s="16"/>
    </row>
    <row r="4" spans="1:34" ht="16.5" thickBot="1" x14ac:dyDescent="0.3">
      <c r="A4" s="43"/>
      <c r="B4" s="62" t="s">
        <v>10</v>
      </c>
      <c r="C4" s="45"/>
      <c r="D4" s="45"/>
      <c r="E4" s="45"/>
      <c r="F4" s="45"/>
      <c r="G4" s="65">
        <f>'ARR CSG Calculator Cover'!$G$11</f>
        <v>0.02</v>
      </c>
      <c r="H4" s="5"/>
      <c r="J4" s="16"/>
      <c r="K4" s="19"/>
      <c r="L4" s="16"/>
      <c r="M4" s="16"/>
      <c r="N4" s="37"/>
      <c r="O4" s="38"/>
      <c r="P4" s="39"/>
      <c r="Q4" s="38"/>
      <c r="R4" s="38"/>
      <c r="S4" s="38"/>
      <c r="T4" s="38"/>
      <c r="U4" s="39"/>
      <c r="V4" s="37"/>
      <c r="W4" s="38"/>
      <c r="X4" s="37"/>
      <c r="Y4" s="38"/>
      <c r="Z4" s="37"/>
      <c r="AA4" s="38"/>
      <c r="AB4" s="38"/>
      <c r="AC4" s="37"/>
      <c r="AD4" s="16"/>
      <c r="AE4" s="21"/>
      <c r="AF4" s="16"/>
      <c r="AG4" s="16"/>
      <c r="AH4" s="16"/>
    </row>
    <row r="5" spans="1:34" ht="16.5" thickBot="1" x14ac:dyDescent="0.3">
      <c r="A5" s="43"/>
      <c r="B5" s="62" t="s">
        <v>58</v>
      </c>
      <c r="C5" s="45"/>
      <c r="D5" s="45"/>
      <c r="E5" s="45"/>
      <c r="F5" s="45"/>
      <c r="G5" s="102">
        <f>'ARR CSG Calculator Cover'!G12</f>
        <v>0.13</v>
      </c>
      <c r="H5" s="5"/>
      <c r="J5" s="16"/>
      <c r="K5" s="19"/>
      <c r="L5" s="16"/>
      <c r="M5" s="16"/>
      <c r="N5" s="37"/>
      <c r="O5" s="38"/>
      <c r="P5" s="39"/>
      <c r="Q5" s="38"/>
      <c r="R5" s="38"/>
      <c r="S5" s="38"/>
      <c r="T5" s="38"/>
      <c r="U5" s="39"/>
      <c r="V5" s="37"/>
      <c r="W5" s="38"/>
      <c r="X5" s="37"/>
      <c r="Y5" s="38"/>
      <c r="Z5" s="37"/>
      <c r="AA5" s="38"/>
      <c r="AB5" s="38"/>
      <c r="AC5" s="37"/>
      <c r="AD5" s="16"/>
      <c r="AE5" s="21"/>
      <c r="AF5" s="16"/>
      <c r="AG5" s="16"/>
      <c r="AH5" s="16"/>
    </row>
    <row r="6" spans="1:34" ht="16.5" thickBot="1" x14ac:dyDescent="0.3">
      <c r="A6" s="43"/>
      <c r="B6" s="44" t="s">
        <v>7</v>
      </c>
      <c r="C6" s="44"/>
      <c r="D6" s="44"/>
      <c r="E6" s="44"/>
      <c r="F6" s="46"/>
      <c r="G6" s="63">
        <f>'ARR CSG Calculator Cover'!$G$13</f>
        <v>2.75E-2</v>
      </c>
      <c r="H6" s="5"/>
      <c r="J6" s="16"/>
      <c r="K6" s="19"/>
      <c r="L6" s="16"/>
      <c r="M6" s="16"/>
      <c r="N6" s="38"/>
      <c r="O6" s="38"/>
      <c r="P6" s="37"/>
      <c r="Q6" s="37"/>
      <c r="R6" s="37"/>
      <c r="S6" s="37"/>
      <c r="T6" s="38"/>
      <c r="U6" s="39"/>
      <c r="V6" s="37"/>
      <c r="W6" s="38"/>
      <c r="X6" s="38"/>
      <c r="Y6" s="38"/>
      <c r="Z6" s="37"/>
      <c r="AA6" s="38"/>
      <c r="AB6" s="38"/>
      <c r="AC6" s="38"/>
      <c r="AD6" s="16"/>
      <c r="AE6" s="19"/>
      <c r="AF6" s="19"/>
      <c r="AG6" s="20"/>
      <c r="AH6" s="16"/>
    </row>
    <row r="7" spans="1:34" ht="16.5" thickBot="1" x14ac:dyDescent="0.3">
      <c r="A7" s="43"/>
      <c r="B7" s="45" t="s">
        <v>6</v>
      </c>
      <c r="C7" s="45"/>
      <c r="D7" s="45"/>
      <c r="E7" s="45"/>
      <c r="F7" s="45"/>
      <c r="G7" s="103">
        <v>2.4500000000000001E-2</v>
      </c>
      <c r="H7" s="6"/>
      <c r="J7" s="16"/>
      <c r="K7" s="19"/>
      <c r="L7" s="16"/>
      <c r="M7" s="16"/>
      <c r="N7" s="38"/>
      <c r="O7" s="38"/>
      <c r="P7" s="37"/>
      <c r="Q7" s="37"/>
      <c r="R7" s="37"/>
      <c r="S7" s="37"/>
      <c r="T7" s="39"/>
      <c r="U7" s="37"/>
      <c r="V7" s="38"/>
      <c r="W7" s="38"/>
      <c r="X7" s="38"/>
      <c r="Y7" s="38"/>
      <c r="Z7" s="37"/>
      <c r="AA7" s="38"/>
      <c r="AB7" s="38"/>
      <c r="AC7" s="38"/>
      <c r="AD7" s="16"/>
      <c r="AE7" s="19"/>
      <c r="AF7" s="19"/>
      <c r="AG7" s="24"/>
      <c r="AH7" s="16"/>
    </row>
    <row r="8" spans="1:34" ht="16.5" thickBot="1" x14ac:dyDescent="0.3">
      <c r="A8" s="43"/>
      <c r="B8" s="44" t="s">
        <v>8</v>
      </c>
      <c r="C8" s="44"/>
      <c r="D8" s="44"/>
      <c r="E8" s="44"/>
      <c r="F8" s="46"/>
      <c r="G8" s="64">
        <f>'ARR CSG Calculator Cover'!$G$14</f>
        <v>2.75E-2</v>
      </c>
      <c r="H8" s="6"/>
      <c r="J8" s="16"/>
      <c r="K8" s="19"/>
      <c r="L8" s="16"/>
      <c r="M8" s="16"/>
      <c r="N8" s="38"/>
      <c r="O8" s="38"/>
      <c r="P8" s="37"/>
      <c r="Q8" s="37"/>
      <c r="R8" s="37"/>
      <c r="S8" s="37"/>
      <c r="T8" s="39"/>
      <c r="U8" s="37"/>
      <c r="V8" s="38"/>
      <c r="W8" s="38"/>
      <c r="X8" s="38"/>
      <c r="Y8" s="38"/>
      <c r="Z8" s="37"/>
      <c r="AA8" s="38"/>
      <c r="AB8" s="38"/>
      <c r="AC8" s="38"/>
      <c r="AD8" s="16"/>
      <c r="AE8" s="19"/>
      <c r="AF8" s="19"/>
      <c r="AG8" s="24"/>
      <c r="AH8" s="16"/>
    </row>
    <row r="9" spans="1:34" ht="15.75" customHeight="1" x14ac:dyDescent="0.25">
      <c r="A9" s="43"/>
      <c r="B9" s="214" t="s">
        <v>1</v>
      </c>
      <c r="C9" s="215"/>
      <c r="D9" s="215"/>
      <c r="E9" s="215"/>
      <c r="F9" s="216"/>
      <c r="G9" s="47"/>
      <c r="H9" s="6"/>
      <c r="I9" s="6"/>
      <c r="J9" s="16"/>
      <c r="K9" s="19"/>
      <c r="L9" s="16"/>
      <c r="M9" s="16"/>
      <c r="N9" s="38"/>
      <c r="O9" s="38"/>
      <c r="P9" s="37"/>
      <c r="Q9" s="37"/>
      <c r="R9" s="37"/>
      <c r="S9" s="37"/>
      <c r="T9" s="39"/>
      <c r="U9" s="37"/>
      <c r="V9" s="38"/>
      <c r="W9" s="38"/>
      <c r="X9" s="38"/>
      <c r="Y9" s="38"/>
      <c r="Z9" s="37"/>
      <c r="AA9" s="38"/>
      <c r="AB9" s="38"/>
      <c r="AC9" s="38"/>
      <c r="AD9" s="16"/>
      <c r="AE9" s="19"/>
      <c r="AF9" s="19"/>
      <c r="AG9" s="23"/>
      <c r="AH9" s="16"/>
    </row>
    <row r="10" spans="1:34" ht="16.5" thickBot="1" x14ac:dyDescent="0.3">
      <c r="A10" s="43"/>
      <c r="B10" s="217"/>
      <c r="C10" s="218"/>
      <c r="D10" s="218"/>
      <c r="E10" s="218"/>
      <c r="F10" s="219"/>
      <c r="G10" s="47"/>
      <c r="H10" s="16"/>
      <c r="I10" s="6"/>
      <c r="J10" s="16"/>
      <c r="K10" s="19"/>
      <c r="L10" s="16"/>
      <c r="M10" s="16"/>
      <c r="N10" s="38"/>
      <c r="O10" s="38"/>
      <c r="P10" s="37"/>
      <c r="Q10" s="37"/>
      <c r="R10" s="37"/>
      <c r="S10" s="37"/>
      <c r="T10" s="39"/>
      <c r="U10" s="220"/>
      <c r="V10" s="220"/>
      <c r="W10" s="220"/>
      <c r="X10" s="220"/>
      <c r="Y10" s="220"/>
      <c r="Z10" s="37"/>
      <c r="AA10" s="38"/>
      <c r="AB10" s="38"/>
      <c r="AC10" s="38"/>
      <c r="AD10" s="16"/>
      <c r="AE10" s="19"/>
      <c r="AF10" s="19"/>
      <c r="AG10" s="16"/>
      <c r="AH10" s="16"/>
    </row>
    <row r="11" spans="1:34" ht="15.75" x14ac:dyDescent="0.25">
      <c r="A11" s="43"/>
      <c r="H11" s="16"/>
      <c r="I11" s="16"/>
      <c r="J11" s="16"/>
      <c r="K11" s="19"/>
      <c r="L11" s="16"/>
      <c r="M11" s="16"/>
      <c r="N11" s="38"/>
      <c r="O11" s="38"/>
      <c r="P11" s="37"/>
      <c r="Q11" s="37"/>
      <c r="R11" s="37"/>
      <c r="S11" s="40"/>
      <c r="T11" s="39"/>
      <c r="U11" s="220"/>
      <c r="V11" s="220"/>
      <c r="W11" s="220"/>
      <c r="X11" s="220"/>
      <c r="Y11" s="220"/>
      <c r="Z11" s="37"/>
      <c r="AA11" s="38"/>
      <c r="AB11" s="38"/>
      <c r="AC11" s="38"/>
      <c r="AD11" s="16"/>
      <c r="AE11" s="19"/>
      <c r="AF11" s="19"/>
      <c r="AG11" s="25"/>
      <c r="AH11" s="25"/>
    </row>
    <row r="12" spans="1:34" s="2" customFormat="1" ht="63" x14ac:dyDescent="0.25">
      <c r="A12" s="48"/>
      <c r="B12" s="48"/>
      <c r="C12" s="48"/>
      <c r="D12" s="48"/>
      <c r="E12" s="48"/>
      <c r="F12" s="49" t="s">
        <v>0</v>
      </c>
      <c r="G12" s="50" t="s">
        <v>2</v>
      </c>
      <c r="H12" s="13"/>
      <c r="I12" s="12"/>
      <c r="J12" s="12"/>
      <c r="K12" s="27"/>
      <c r="L12" s="12"/>
      <c r="M12" s="12"/>
      <c r="N12" s="27"/>
      <c r="O12" s="12"/>
      <c r="P12" s="27"/>
      <c r="Q12" s="12"/>
      <c r="R12" s="12"/>
      <c r="S12" s="12"/>
      <c r="T12" s="27"/>
      <c r="U12" s="12"/>
      <c r="V12" s="12"/>
      <c r="W12" s="12"/>
      <c r="X12" s="12"/>
      <c r="Y12" s="12"/>
      <c r="Z12" s="12"/>
      <c r="AA12" s="12"/>
      <c r="AF12" s="10"/>
    </row>
    <row r="13" spans="1:34" s="7" customFormat="1" ht="18.75" customHeight="1" x14ac:dyDescent="0.25">
      <c r="A13" s="51"/>
      <c r="B13" s="150">
        <f>G7</f>
        <v>2.4500000000000001E-2</v>
      </c>
      <c r="C13" s="52">
        <f>'ARR CSG Calculator Cover'!$G$13</f>
        <v>2.75E-2</v>
      </c>
      <c r="D13" s="53">
        <f>'ARR CSG Calculator Cover'!$G$14</f>
        <v>2.75E-2</v>
      </c>
      <c r="E13" s="54"/>
      <c r="F13" s="51"/>
      <c r="G13" s="51"/>
      <c r="H13" s="12"/>
      <c r="I13" s="12"/>
      <c r="J13" s="12"/>
      <c r="K13" s="12"/>
      <c r="L13" s="12"/>
      <c r="M13" s="12"/>
      <c r="N13" s="12"/>
      <c r="O13" s="28"/>
      <c r="P13" s="28"/>
      <c r="Q13" s="28"/>
      <c r="R13" s="29"/>
      <c r="S13" s="12"/>
      <c r="T13" s="30"/>
      <c r="U13" s="12"/>
      <c r="V13" s="12"/>
      <c r="W13" s="12"/>
      <c r="X13" s="12"/>
      <c r="Y13" s="12"/>
      <c r="Z13" s="12"/>
      <c r="AA13" s="12"/>
      <c r="AC13" s="8"/>
      <c r="AD13" s="8"/>
      <c r="AE13" s="9"/>
    </row>
    <row r="14" spans="1:34" s="7" customFormat="1" ht="73.5" customHeight="1" thickBot="1" x14ac:dyDescent="0.55000000000000004">
      <c r="A14" s="51"/>
      <c r="B14" s="55" t="s">
        <v>96</v>
      </c>
      <c r="C14" s="55" t="s">
        <v>101</v>
      </c>
      <c r="D14" s="55" t="s">
        <v>102</v>
      </c>
      <c r="E14" s="55" t="s">
        <v>123</v>
      </c>
      <c r="F14" s="51"/>
      <c r="G14" s="56"/>
      <c r="H14" s="17"/>
      <c r="I14" s="41"/>
      <c r="J14" s="41"/>
      <c r="K14" s="41"/>
      <c r="L14" s="41"/>
      <c r="M14" s="41"/>
      <c r="N14" s="41"/>
      <c r="O14" s="28"/>
      <c r="P14" s="28"/>
      <c r="Q14" s="28"/>
      <c r="R14" s="29"/>
      <c r="S14" s="12"/>
      <c r="T14" s="27"/>
      <c r="U14" s="12"/>
      <c r="V14" s="12"/>
      <c r="W14" s="12"/>
      <c r="X14" s="12"/>
      <c r="Y14" s="12"/>
      <c r="Z14" s="12"/>
      <c r="AA14" s="12"/>
      <c r="AC14" s="18"/>
      <c r="AD14" s="18"/>
      <c r="AE14" s="18"/>
    </row>
    <row r="15" spans="1:34" ht="15.75" x14ac:dyDescent="0.25">
      <c r="A15" s="57">
        <v>1</v>
      </c>
      <c r="B15" s="104">
        <f>G3 + G4</f>
        <v>0.15539999999999998</v>
      </c>
      <c r="C15" s="105">
        <f>G5</f>
        <v>0.13</v>
      </c>
      <c r="D15" s="105">
        <f>G3 + G4</f>
        <v>0.15539999999999998</v>
      </c>
      <c r="E15" s="58">
        <f t="shared" ref="E15:E39" si="0">(D15-C15)*($G$2/12)</f>
        <v>21.16666666666665</v>
      </c>
      <c r="F15" s="59">
        <f>(($G$2)/12)*B15</f>
        <v>129.5</v>
      </c>
      <c r="G15" s="59">
        <f>F15*12</f>
        <v>1554</v>
      </c>
      <c r="H15" s="14"/>
      <c r="I15" s="16"/>
      <c r="J15" s="16"/>
      <c r="K15" s="31"/>
      <c r="L15" s="26"/>
      <c r="M15" s="26"/>
      <c r="N15" s="16"/>
      <c r="O15" s="16"/>
      <c r="P15" s="26"/>
      <c r="Q15" s="26"/>
      <c r="R15" s="32"/>
      <c r="S15" s="26"/>
      <c r="T15" s="33"/>
      <c r="U15" s="34"/>
      <c r="V15" s="35"/>
      <c r="W15" s="35"/>
      <c r="X15" s="16"/>
      <c r="Y15" s="16"/>
      <c r="Z15" s="36"/>
      <c r="AA15" s="26"/>
      <c r="AB15" s="3"/>
      <c r="AC15" s="3"/>
      <c r="AD15" s="3"/>
      <c r="AE15" s="3"/>
      <c r="AF15" s="4"/>
      <c r="AH15" s="4"/>
    </row>
    <row r="16" spans="1:34" ht="15.75" x14ac:dyDescent="0.25">
      <c r="A16" s="57">
        <v>2</v>
      </c>
      <c r="B16" s="66">
        <f t="shared" ref="B16:B39" si="1">((1+$B$13)^A15)*$G$3 + $G$4</f>
        <v>0.15871729999999998</v>
      </c>
      <c r="C16" s="66">
        <f t="shared" ref="C16:C39" si="2">((1+$C$13)^A15)*$G$5</f>
        <v>0.13357500000000003</v>
      </c>
      <c r="D16" s="66">
        <f t="shared" ref="D16:D39" si="3">((1+$D$13)^A15)*$G$3 +$G$4</f>
        <v>0.1591235</v>
      </c>
      <c r="E16" s="58">
        <f t="shared" si="0"/>
        <v>21.290416666666648</v>
      </c>
      <c r="F16" s="59">
        <f t="shared" ref="F16:F39" si="4">(($G$2)/12)*B16</f>
        <v>132.26441666666665</v>
      </c>
      <c r="G16" s="59">
        <f t="shared" ref="G16:G39" si="5">F16*12</f>
        <v>1587.1729999999998</v>
      </c>
      <c r="H16" s="14"/>
      <c r="I16" s="16"/>
      <c r="J16" s="16"/>
      <c r="K16" s="31"/>
      <c r="L16" s="26"/>
      <c r="M16" s="26"/>
      <c r="N16" s="16"/>
      <c r="O16" s="16"/>
      <c r="P16" s="26"/>
      <c r="Q16" s="26"/>
      <c r="R16" s="32"/>
      <c r="S16" s="26"/>
      <c r="T16" s="33"/>
      <c r="U16" s="34"/>
      <c r="V16" s="35"/>
      <c r="W16" s="35"/>
      <c r="X16" s="16"/>
      <c r="Y16" s="16"/>
      <c r="Z16" s="36"/>
      <c r="AA16" s="26"/>
      <c r="AB16" s="3"/>
      <c r="AC16" s="3"/>
      <c r="AD16" s="3"/>
      <c r="AE16" s="3"/>
      <c r="AF16" s="4"/>
      <c r="AG16" s="4"/>
    </row>
    <row r="17" spans="1:33" ht="15.75" x14ac:dyDescent="0.25">
      <c r="A17" s="57">
        <v>3</v>
      </c>
      <c r="B17" s="66">
        <f t="shared" si="1"/>
        <v>0.16211587384999998</v>
      </c>
      <c r="C17" s="66">
        <f t="shared" si="2"/>
        <v>0.13724831250000002</v>
      </c>
      <c r="D17" s="66">
        <f t="shared" si="3"/>
        <v>0.16294939625000002</v>
      </c>
      <c r="E17" s="58">
        <f t="shared" si="0"/>
        <v>21.417569791666661</v>
      </c>
      <c r="F17" s="59">
        <f t="shared" si="4"/>
        <v>135.09656154166666</v>
      </c>
      <c r="G17" s="59">
        <f t="shared" si="5"/>
        <v>1621.1587384999998</v>
      </c>
      <c r="H17" s="14"/>
      <c r="I17" s="16"/>
      <c r="J17" s="16"/>
      <c r="K17" s="31"/>
      <c r="L17" s="26"/>
      <c r="M17" s="26"/>
      <c r="N17" s="16"/>
      <c r="O17" s="16"/>
      <c r="P17" s="26"/>
      <c r="Q17" s="26"/>
      <c r="R17" s="32"/>
      <c r="S17" s="26"/>
      <c r="T17" s="33"/>
      <c r="U17" s="34"/>
      <c r="V17" s="35"/>
      <c r="W17" s="35"/>
      <c r="X17" s="16"/>
      <c r="Y17" s="16"/>
      <c r="Z17" s="36"/>
      <c r="AA17" s="26"/>
      <c r="AB17" s="3"/>
      <c r="AC17" s="3"/>
      <c r="AD17" s="3"/>
      <c r="AE17" s="3"/>
      <c r="AF17" s="4"/>
      <c r="AG17" s="4"/>
    </row>
    <row r="18" spans="1:33" ht="15.75" x14ac:dyDescent="0.25">
      <c r="A18" s="57">
        <v>4</v>
      </c>
      <c r="B18" s="66">
        <f t="shared" si="1"/>
        <v>0.16559771275932494</v>
      </c>
      <c r="C18" s="66">
        <f t="shared" si="2"/>
        <v>0.14102264109375004</v>
      </c>
      <c r="D18" s="66">
        <f t="shared" si="3"/>
        <v>0.16688050464687501</v>
      </c>
      <c r="E18" s="58">
        <f t="shared" si="0"/>
        <v>21.548219627604144</v>
      </c>
      <c r="F18" s="59">
        <f t="shared" si="4"/>
        <v>137.99809396610414</v>
      </c>
      <c r="G18" s="59">
        <f t="shared" si="5"/>
        <v>1655.9771275932496</v>
      </c>
      <c r="H18" s="14"/>
      <c r="I18" s="16"/>
      <c r="J18" s="16"/>
      <c r="K18" s="31"/>
      <c r="L18" s="26"/>
      <c r="M18" s="26"/>
      <c r="N18" s="16"/>
      <c r="O18" s="16"/>
      <c r="P18" s="26"/>
      <c r="Q18" s="26"/>
      <c r="R18" s="32"/>
      <c r="S18" s="26"/>
      <c r="T18" s="33"/>
      <c r="U18" s="34"/>
      <c r="V18" s="35"/>
      <c r="W18" s="35"/>
      <c r="X18" s="16"/>
      <c r="Y18" s="16"/>
      <c r="Z18" s="36"/>
      <c r="AA18" s="26"/>
      <c r="AB18" s="3"/>
      <c r="AC18" s="3"/>
      <c r="AD18" s="3"/>
      <c r="AE18" s="3"/>
      <c r="AF18" s="4"/>
      <c r="AG18" s="4"/>
    </row>
    <row r="19" spans="1:33" ht="15.75" x14ac:dyDescent="0.25">
      <c r="A19" s="57">
        <v>5</v>
      </c>
      <c r="B19" s="66">
        <f t="shared" si="1"/>
        <v>0.16916485672192841</v>
      </c>
      <c r="C19" s="66">
        <f t="shared" si="2"/>
        <v>0.14490076372382815</v>
      </c>
      <c r="D19" s="66">
        <f t="shared" si="3"/>
        <v>0.17091971852466409</v>
      </c>
      <c r="E19" s="58">
        <f t="shared" si="0"/>
        <v>21.682462334029946</v>
      </c>
      <c r="F19" s="59">
        <f t="shared" si="4"/>
        <v>140.97071393494033</v>
      </c>
      <c r="G19" s="59">
        <f t="shared" si="5"/>
        <v>1691.6485672192839</v>
      </c>
      <c r="H19" s="14"/>
      <c r="I19" s="16"/>
      <c r="J19" s="16"/>
      <c r="K19" s="31"/>
      <c r="L19" s="26"/>
      <c r="M19" s="26"/>
      <c r="N19" s="16"/>
      <c r="O19" s="16"/>
      <c r="P19" s="26"/>
      <c r="Q19" s="26"/>
      <c r="R19" s="32"/>
      <c r="S19" s="26"/>
      <c r="T19" s="33"/>
      <c r="U19" s="34"/>
      <c r="V19" s="35"/>
      <c r="W19" s="35"/>
      <c r="X19" s="16"/>
      <c r="Y19" s="16"/>
      <c r="Z19" s="36"/>
      <c r="AA19" s="26"/>
      <c r="AB19" s="3"/>
      <c r="AC19" s="3"/>
      <c r="AD19" s="3"/>
      <c r="AE19" s="3"/>
      <c r="AF19" s="4"/>
      <c r="AG19" s="4"/>
    </row>
    <row r="20" spans="1:33" ht="15.75" x14ac:dyDescent="0.25">
      <c r="A20" s="57">
        <v>6</v>
      </c>
      <c r="B20" s="66">
        <f t="shared" si="1"/>
        <v>0.17281939571161567</v>
      </c>
      <c r="C20" s="66">
        <f t="shared" si="2"/>
        <v>0.14888553472623348</v>
      </c>
      <c r="D20" s="66">
        <f t="shared" si="3"/>
        <v>0.17507001078409237</v>
      </c>
      <c r="E20" s="58">
        <f t="shared" si="0"/>
        <v>21.820396714882413</v>
      </c>
      <c r="F20" s="59">
        <f t="shared" si="4"/>
        <v>144.01616309301306</v>
      </c>
      <c r="G20" s="59">
        <f t="shared" si="5"/>
        <v>1728.1939571161568</v>
      </c>
      <c r="H20" s="14"/>
      <c r="I20" s="16"/>
      <c r="J20" s="16"/>
      <c r="K20" s="31"/>
      <c r="L20" s="26"/>
      <c r="M20" s="26"/>
      <c r="N20" s="16"/>
      <c r="O20" s="16"/>
      <c r="P20" s="26"/>
      <c r="Q20" s="26"/>
      <c r="R20" s="32"/>
      <c r="S20" s="26"/>
      <c r="T20" s="33"/>
      <c r="U20" s="34"/>
      <c r="V20" s="35"/>
      <c r="W20" s="35"/>
      <c r="X20" s="16"/>
      <c r="Y20" s="16"/>
      <c r="Z20" s="36"/>
      <c r="AA20" s="26"/>
      <c r="AB20" s="3"/>
      <c r="AC20" s="3"/>
      <c r="AD20" s="3"/>
      <c r="AE20" s="3"/>
      <c r="AF20" s="4"/>
      <c r="AG20" s="4"/>
    </row>
    <row r="21" spans="1:33" ht="15.75" x14ac:dyDescent="0.25">
      <c r="A21" s="57">
        <v>7</v>
      </c>
      <c r="B21" s="66">
        <f t="shared" si="1"/>
        <v>0.17656347090655022</v>
      </c>
      <c r="C21" s="66">
        <f t="shared" si="2"/>
        <v>0.15297988693120487</v>
      </c>
      <c r="D21" s="66">
        <f t="shared" si="3"/>
        <v>0.17933443608065491</v>
      </c>
      <c r="E21" s="58">
        <f t="shared" si="0"/>
        <v>21.962124291208369</v>
      </c>
      <c r="F21" s="59">
        <f t="shared" si="4"/>
        <v>147.13622575545853</v>
      </c>
      <c r="G21" s="59">
        <f t="shared" si="5"/>
        <v>1765.6347090655022</v>
      </c>
      <c r="H21" s="14"/>
      <c r="I21" s="16"/>
      <c r="J21" s="16"/>
      <c r="K21" s="31"/>
      <c r="L21" s="26"/>
      <c r="M21" s="26"/>
      <c r="N21" s="16"/>
      <c r="O21" s="16"/>
      <c r="P21" s="26"/>
      <c r="Q21" s="26"/>
      <c r="R21" s="32"/>
      <c r="S21" s="26"/>
      <c r="T21" s="33"/>
      <c r="U21" s="34"/>
      <c r="V21" s="35"/>
      <c r="W21" s="35"/>
      <c r="X21" s="16"/>
      <c r="Y21" s="16"/>
      <c r="Z21" s="36"/>
      <c r="AA21" s="26"/>
      <c r="AB21" s="3"/>
      <c r="AC21" s="3"/>
      <c r="AD21" s="3"/>
      <c r="AE21" s="3"/>
      <c r="AF21" s="4"/>
      <c r="AG21" s="4"/>
    </row>
    <row r="22" spans="1:33" ht="15.75" x14ac:dyDescent="0.25">
      <c r="A22" s="57">
        <v>8</v>
      </c>
      <c r="B22" s="66">
        <f t="shared" si="1"/>
        <v>0.18039927594376071</v>
      </c>
      <c r="C22" s="66">
        <f t="shared" si="2"/>
        <v>0.157186833821813</v>
      </c>
      <c r="D22" s="66">
        <f t="shared" si="3"/>
        <v>0.18371613307287291</v>
      </c>
      <c r="E22" s="58">
        <f t="shared" si="0"/>
        <v>22.107749375883252</v>
      </c>
      <c r="F22" s="59">
        <f t="shared" si="4"/>
        <v>150.33272995313393</v>
      </c>
      <c r="G22" s="59">
        <f t="shared" si="5"/>
        <v>1803.9927594376072</v>
      </c>
      <c r="H22" s="14"/>
      <c r="I22" s="16"/>
      <c r="J22" s="16"/>
      <c r="K22" s="31"/>
      <c r="L22" s="26"/>
      <c r="M22" s="26"/>
      <c r="N22" s="16"/>
      <c r="O22" s="16"/>
      <c r="P22" s="26"/>
      <c r="Q22" s="26"/>
      <c r="R22" s="32"/>
      <c r="S22" s="26"/>
      <c r="T22" s="33"/>
      <c r="U22" s="34"/>
      <c r="V22" s="35"/>
      <c r="W22" s="35"/>
      <c r="X22" s="16"/>
      <c r="Y22" s="16"/>
      <c r="Z22" s="36"/>
      <c r="AA22" s="26"/>
      <c r="AB22" s="3"/>
      <c r="AC22" s="3"/>
      <c r="AD22" s="3"/>
      <c r="AE22" s="3"/>
      <c r="AF22" s="4"/>
      <c r="AG22" s="4"/>
    </row>
    <row r="23" spans="1:33" ht="15.75" x14ac:dyDescent="0.25">
      <c r="A23" s="57">
        <v>9</v>
      </c>
      <c r="B23" s="66">
        <f t="shared" si="1"/>
        <v>0.18432905820438283</v>
      </c>
      <c r="C23" s="66">
        <f t="shared" si="2"/>
        <v>0.16150947175191288</v>
      </c>
      <c r="D23" s="66">
        <f t="shared" si="3"/>
        <v>0.18821832673237693</v>
      </c>
      <c r="E23" s="58">
        <f t="shared" si="0"/>
        <v>22.257379150386708</v>
      </c>
      <c r="F23" s="59">
        <f t="shared" si="4"/>
        <v>153.60754850365237</v>
      </c>
      <c r="G23" s="59">
        <f t="shared" si="5"/>
        <v>1843.2905820438284</v>
      </c>
      <c r="H23" s="14"/>
      <c r="I23" s="16"/>
      <c r="J23" s="16"/>
      <c r="K23" s="31"/>
      <c r="L23" s="26"/>
      <c r="M23" s="26"/>
      <c r="N23" s="16"/>
      <c r="O23" s="16"/>
      <c r="P23" s="26"/>
      <c r="Q23" s="26"/>
      <c r="R23" s="32"/>
      <c r="S23" s="26"/>
      <c r="T23" s="33"/>
      <c r="U23" s="34"/>
      <c r="V23" s="35"/>
      <c r="W23" s="35"/>
      <c r="X23" s="16"/>
      <c r="Y23" s="16"/>
      <c r="Z23" s="36"/>
      <c r="AA23" s="26"/>
      <c r="AB23" s="3"/>
      <c r="AC23" s="3"/>
      <c r="AD23" s="3"/>
      <c r="AE23" s="3"/>
      <c r="AF23" s="4"/>
      <c r="AG23" s="4"/>
    </row>
    <row r="24" spans="1:33" ht="15.75" x14ac:dyDescent="0.25">
      <c r="A24" s="57">
        <v>10</v>
      </c>
      <c r="B24" s="66">
        <f t="shared" si="1"/>
        <v>0.18835512013039021</v>
      </c>
      <c r="C24" s="66">
        <f t="shared" si="2"/>
        <v>0.1659509822250905</v>
      </c>
      <c r="D24" s="66">
        <f t="shared" si="3"/>
        <v>0.1928443307175173</v>
      </c>
      <c r="E24" s="58">
        <f t="shared" si="0"/>
        <v>22.411123743689004</v>
      </c>
      <c r="F24" s="59">
        <f t="shared" si="4"/>
        <v>156.96260010865851</v>
      </c>
      <c r="G24" s="59">
        <f t="shared" si="5"/>
        <v>1883.551201303902</v>
      </c>
      <c r="H24" s="14"/>
      <c r="I24" s="16"/>
      <c r="J24" s="16"/>
      <c r="K24" s="31"/>
      <c r="L24" s="26"/>
      <c r="M24" s="26"/>
      <c r="N24" s="16"/>
      <c r="O24" s="16"/>
      <c r="P24" s="26"/>
      <c r="Q24" s="26"/>
      <c r="R24" s="32"/>
      <c r="S24" s="26"/>
      <c r="T24" s="33"/>
      <c r="U24" s="34"/>
      <c r="V24" s="35"/>
      <c r="W24" s="35"/>
      <c r="X24" s="16"/>
      <c r="Y24" s="16"/>
      <c r="Z24" s="36"/>
      <c r="AA24" s="26"/>
      <c r="AB24" s="3"/>
      <c r="AC24" s="3"/>
      <c r="AD24" s="3"/>
      <c r="AE24" s="3"/>
      <c r="AF24" s="4"/>
      <c r="AG24" s="4"/>
    </row>
    <row r="25" spans="1:33" ht="15.75" x14ac:dyDescent="0.25">
      <c r="A25" s="57">
        <v>11</v>
      </c>
      <c r="B25" s="66">
        <f t="shared" si="1"/>
        <v>0.19247982057358476</v>
      </c>
      <c r="C25" s="66">
        <f t="shared" si="2"/>
        <v>0.17051463423628049</v>
      </c>
      <c r="D25" s="66">
        <f t="shared" si="3"/>
        <v>0.19759754981224903</v>
      </c>
      <c r="E25" s="58">
        <f t="shared" si="0"/>
        <v>22.569096313307114</v>
      </c>
      <c r="F25" s="59">
        <f t="shared" si="4"/>
        <v>160.39985047798731</v>
      </c>
      <c r="G25" s="59">
        <f t="shared" si="5"/>
        <v>1924.7982057358477</v>
      </c>
      <c r="H25" s="14"/>
      <c r="I25" s="16"/>
      <c r="J25" s="16"/>
      <c r="K25" s="31"/>
      <c r="L25" s="26"/>
      <c r="M25" s="26"/>
      <c r="N25" s="16"/>
      <c r="O25" s="16"/>
      <c r="P25" s="26"/>
      <c r="Q25" s="26"/>
      <c r="R25" s="32"/>
      <c r="S25" s="26"/>
      <c r="T25" s="33"/>
      <c r="U25" s="34"/>
      <c r="V25" s="35"/>
      <c r="W25" s="35"/>
      <c r="X25" s="16"/>
      <c r="Y25" s="16"/>
      <c r="Z25" s="36"/>
      <c r="AA25" s="26"/>
      <c r="AB25" s="3"/>
      <c r="AC25" s="3"/>
      <c r="AD25" s="3"/>
      <c r="AE25" s="3"/>
      <c r="AF25" s="4"/>
      <c r="AG25" s="4"/>
    </row>
    <row r="26" spans="1:33" ht="15.75" x14ac:dyDescent="0.25">
      <c r="A26" s="57">
        <v>12</v>
      </c>
      <c r="B26" s="66">
        <f t="shared" si="1"/>
        <v>0.19670557617763756</v>
      </c>
      <c r="C26" s="66">
        <f t="shared" si="2"/>
        <v>0.17520378667777822</v>
      </c>
      <c r="D26" s="66">
        <f t="shared" si="3"/>
        <v>0.20248148243208589</v>
      </c>
      <c r="E26" s="58">
        <f t="shared" si="0"/>
        <v>22.731413128589718</v>
      </c>
      <c r="F26" s="59">
        <f t="shared" si="4"/>
        <v>163.92131348136465</v>
      </c>
      <c r="G26" s="59">
        <f t="shared" si="5"/>
        <v>1967.0557617763757</v>
      </c>
      <c r="H26" s="14"/>
      <c r="I26" s="16"/>
      <c r="J26" s="16"/>
      <c r="K26" s="31"/>
      <c r="L26" s="26"/>
      <c r="M26" s="26"/>
      <c r="N26" s="16"/>
      <c r="O26" s="16"/>
      <c r="P26" s="26"/>
      <c r="Q26" s="26"/>
      <c r="R26" s="32"/>
      <c r="S26" s="26"/>
      <c r="T26" s="33"/>
      <c r="U26" s="34"/>
      <c r="V26" s="35"/>
      <c r="W26" s="35"/>
      <c r="X26" s="16"/>
      <c r="Y26" s="16"/>
      <c r="Z26" s="36"/>
      <c r="AA26" s="26"/>
      <c r="AB26" s="3"/>
      <c r="AC26" s="3"/>
      <c r="AD26" s="3"/>
      <c r="AE26" s="3"/>
      <c r="AF26" s="4"/>
      <c r="AG26" s="4"/>
    </row>
    <row r="27" spans="1:33" ht="15.75" x14ac:dyDescent="0.25">
      <c r="A27" s="57">
        <v>13</v>
      </c>
      <c r="B27" s="66">
        <f t="shared" si="1"/>
        <v>0.20103486279398969</v>
      </c>
      <c r="C27" s="66">
        <f t="shared" si="2"/>
        <v>0.18002189081141712</v>
      </c>
      <c r="D27" s="66">
        <f t="shared" si="3"/>
        <v>0.20749972319896826</v>
      </c>
      <c r="E27" s="58">
        <f t="shared" si="0"/>
        <v>22.898193656292616</v>
      </c>
      <c r="F27" s="59">
        <f t="shared" si="4"/>
        <v>167.52905232832475</v>
      </c>
      <c r="G27" s="59">
        <f t="shared" si="5"/>
        <v>2010.3486279398971</v>
      </c>
      <c r="H27" s="14"/>
      <c r="I27" s="16"/>
      <c r="J27" s="16"/>
      <c r="K27" s="31"/>
      <c r="L27" s="26"/>
      <c r="M27" s="26"/>
      <c r="N27" s="16"/>
      <c r="O27" s="16"/>
      <c r="P27" s="26"/>
      <c r="Q27" s="26"/>
      <c r="R27" s="32"/>
      <c r="S27" s="26"/>
      <c r="T27" s="33"/>
      <c r="U27" s="34"/>
      <c r="V27" s="35"/>
      <c r="W27" s="35"/>
      <c r="X27" s="16"/>
      <c r="Y27" s="16"/>
      <c r="Z27" s="36"/>
      <c r="AA27" s="26"/>
      <c r="AB27" s="3"/>
      <c r="AC27" s="3"/>
      <c r="AD27" s="3"/>
      <c r="AE27" s="3"/>
      <c r="AF27" s="4"/>
      <c r="AG27" s="4"/>
    </row>
    <row r="28" spans="1:33" ht="15.75" x14ac:dyDescent="0.25">
      <c r="A28" s="57">
        <v>14</v>
      </c>
      <c r="B28" s="66">
        <f t="shared" si="1"/>
        <v>0.20547021693244244</v>
      </c>
      <c r="C28" s="66">
        <f t="shared" si="2"/>
        <v>0.18497249280873113</v>
      </c>
      <c r="D28" s="66">
        <f t="shared" si="3"/>
        <v>0.21265596558693992</v>
      </c>
      <c r="E28" s="58">
        <f t="shared" si="0"/>
        <v>23.069560648507327</v>
      </c>
      <c r="F28" s="59">
        <f t="shared" si="4"/>
        <v>171.22518077703538</v>
      </c>
      <c r="G28" s="59">
        <f t="shared" si="5"/>
        <v>2054.7021693244246</v>
      </c>
      <c r="H28" s="14"/>
      <c r="I28" s="16"/>
      <c r="J28" s="16"/>
      <c r="K28" s="31"/>
      <c r="L28" s="26"/>
      <c r="M28" s="26"/>
      <c r="N28" s="16"/>
      <c r="O28" s="16"/>
      <c r="P28" s="26"/>
      <c r="Q28" s="26"/>
      <c r="R28" s="32"/>
      <c r="S28" s="26"/>
      <c r="T28" s="33"/>
      <c r="U28" s="34"/>
      <c r="V28" s="35"/>
      <c r="W28" s="35"/>
      <c r="X28" s="16"/>
      <c r="Y28" s="16"/>
      <c r="Z28" s="36"/>
      <c r="AA28" s="26"/>
      <c r="AB28" s="3"/>
      <c r="AC28" s="3"/>
      <c r="AD28" s="3"/>
      <c r="AE28" s="3"/>
      <c r="AF28" s="4"/>
      <c r="AG28" s="4"/>
    </row>
    <row r="29" spans="1:33" ht="15.75" x14ac:dyDescent="0.25">
      <c r="A29" s="57">
        <v>15</v>
      </c>
      <c r="B29" s="66">
        <f t="shared" si="1"/>
        <v>0.21001423724728724</v>
      </c>
      <c r="C29" s="66">
        <f t="shared" si="2"/>
        <v>0.19005923636097125</v>
      </c>
      <c r="D29" s="66">
        <f t="shared" si="3"/>
        <v>0.21795400464058079</v>
      </c>
      <c r="E29" s="58">
        <f t="shared" si="0"/>
        <v>23.245640233007954</v>
      </c>
      <c r="F29" s="59">
        <f t="shared" si="4"/>
        <v>175.01186437273938</v>
      </c>
      <c r="G29" s="59">
        <f t="shared" si="5"/>
        <v>2100.1423724728725</v>
      </c>
      <c r="H29" s="14"/>
      <c r="I29" s="16"/>
      <c r="J29" s="16"/>
      <c r="K29" s="31"/>
      <c r="L29" s="26"/>
      <c r="M29" s="26"/>
      <c r="N29" s="16"/>
      <c r="O29" s="16"/>
      <c r="P29" s="26"/>
      <c r="Q29" s="26"/>
      <c r="R29" s="32"/>
      <c r="S29" s="26"/>
      <c r="T29" s="33"/>
      <c r="U29" s="34"/>
      <c r="V29" s="35"/>
      <c r="W29" s="35"/>
      <c r="X29" s="16"/>
      <c r="Y29" s="16"/>
      <c r="Z29" s="36"/>
      <c r="AA29" s="26"/>
      <c r="AB29" s="3"/>
      <c r="AC29" s="3"/>
      <c r="AD29" s="3"/>
      <c r="AE29" s="3"/>
      <c r="AF29" s="4"/>
      <c r="AG29" s="4"/>
    </row>
    <row r="30" spans="1:33" ht="15.75" x14ac:dyDescent="0.25">
      <c r="A30" s="57">
        <v>16</v>
      </c>
      <c r="B30" s="66">
        <f t="shared" si="1"/>
        <v>0.21466958605984576</v>
      </c>
      <c r="C30" s="66">
        <f t="shared" si="2"/>
        <v>0.19528586536089793</v>
      </c>
      <c r="D30" s="66">
        <f t="shared" si="3"/>
        <v>0.22339773976819674</v>
      </c>
      <c r="E30" s="58">
        <f t="shared" si="0"/>
        <v>23.426562006082346</v>
      </c>
      <c r="F30" s="59">
        <f t="shared" si="4"/>
        <v>178.89132171653813</v>
      </c>
      <c r="G30" s="59">
        <f t="shared" si="5"/>
        <v>2146.6958605984573</v>
      </c>
      <c r="H30" s="14"/>
      <c r="I30" s="16"/>
      <c r="J30" s="16"/>
      <c r="K30" s="31"/>
      <c r="L30" s="26"/>
      <c r="M30" s="26"/>
      <c r="N30" s="16"/>
      <c r="O30" s="16"/>
      <c r="P30" s="26"/>
      <c r="Q30" s="26"/>
      <c r="R30" s="32"/>
      <c r="S30" s="26"/>
      <c r="T30" s="33"/>
      <c r="U30" s="34"/>
      <c r="V30" s="35"/>
      <c r="W30" s="35"/>
      <c r="X30" s="16"/>
      <c r="Y30" s="16"/>
      <c r="Z30" s="36"/>
      <c r="AA30" s="26"/>
      <c r="AB30" s="3"/>
      <c r="AC30" s="3"/>
      <c r="AD30" s="3"/>
      <c r="AE30" s="3"/>
      <c r="AF30" s="4"/>
      <c r="AG30" s="4"/>
    </row>
    <row r="31" spans="1:33" ht="15.75" x14ac:dyDescent="0.25">
      <c r="A31" s="57">
        <v>17</v>
      </c>
      <c r="B31" s="66">
        <f t="shared" si="1"/>
        <v>0.21943899091831198</v>
      </c>
      <c r="C31" s="66">
        <f t="shared" si="2"/>
        <v>0.20065622665832261</v>
      </c>
      <c r="D31" s="66">
        <f t="shared" si="3"/>
        <v>0.22899117761182214</v>
      </c>
      <c r="E31" s="58">
        <f t="shared" si="0"/>
        <v>23.612459127916274</v>
      </c>
      <c r="F31" s="59">
        <f t="shared" si="4"/>
        <v>182.86582576525998</v>
      </c>
      <c r="G31" s="59">
        <f t="shared" si="5"/>
        <v>2194.3899091831199</v>
      </c>
      <c r="H31" s="14"/>
      <c r="I31" s="16"/>
      <c r="J31" s="16"/>
      <c r="K31" s="31"/>
      <c r="L31" s="26"/>
      <c r="M31" s="26"/>
      <c r="N31" s="16"/>
      <c r="O31" s="16"/>
      <c r="P31" s="26"/>
      <c r="Q31" s="26"/>
      <c r="R31" s="32"/>
      <c r="S31" s="26"/>
      <c r="T31" s="33"/>
      <c r="U31" s="34"/>
      <c r="V31" s="35"/>
      <c r="W31" s="35"/>
      <c r="X31" s="16"/>
      <c r="Y31" s="16"/>
      <c r="Z31" s="36"/>
      <c r="AA31" s="26"/>
      <c r="AB31" s="3"/>
      <c r="AC31" s="3"/>
      <c r="AD31" s="3"/>
      <c r="AE31" s="3"/>
      <c r="AF31" s="4"/>
      <c r="AG31" s="4"/>
    </row>
    <row r="32" spans="1:33" ht="15.75" x14ac:dyDescent="0.25">
      <c r="A32" s="57">
        <v>18</v>
      </c>
      <c r="B32" s="66">
        <f t="shared" si="1"/>
        <v>0.22432524619581062</v>
      </c>
      <c r="C32" s="66">
        <f t="shared" si="2"/>
        <v>0.20617427289142651</v>
      </c>
      <c r="D32" s="66">
        <f t="shared" si="3"/>
        <v>0.23473843499614727</v>
      </c>
      <c r="E32" s="58">
        <f t="shared" si="0"/>
        <v>23.803468420600638</v>
      </c>
      <c r="F32" s="59">
        <f t="shared" si="4"/>
        <v>186.93770516317554</v>
      </c>
      <c r="G32" s="59">
        <f t="shared" si="5"/>
        <v>2243.2524619581063</v>
      </c>
      <c r="H32" s="14"/>
      <c r="I32" s="16"/>
      <c r="J32" s="16"/>
      <c r="K32" s="31"/>
      <c r="L32" s="26"/>
      <c r="M32" s="26"/>
      <c r="N32" s="16"/>
      <c r="O32" s="16"/>
      <c r="P32" s="26"/>
      <c r="Q32" s="26"/>
      <c r="R32" s="32"/>
      <c r="S32" s="26"/>
      <c r="T32" s="33"/>
      <c r="U32" s="34"/>
      <c r="V32" s="35"/>
      <c r="W32" s="35"/>
      <c r="X32" s="16"/>
      <c r="Y32" s="16"/>
      <c r="Z32" s="36"/>
      <c r="AA32" s="26"/>
      <c r="AB32" s="3"/>
      <c r="AC32" s="3"/>
      <c r="AD32" s="3"/>
      <c r="AE32" s="3"/>
      <c r="AF32" s="4"/>
      <c r="AG32" s="4"/>
    </row>
    <row r="33" spans="1:34" ht="15.75" x14ac:dyDescent="0.25">
      <c r="A33" s="57">
        <v>19</v>
      </c>
      <c r="B33" s="66">
        <f t="shared" si="1"/>
        <v>0.22933121472760795</v>
      </c>
      <c r="C33" s="66">
        <f t="shared" si="2"/>
        <v>0.21184406539594075</v>
      </c>
      <c r="D33" s="66">
        <f t="shared" si="3"/>
        <v>0.24064374195854135</v>
      </c>
      <c r="E33" s="58">
        <f t="shared" si="0"/>
        <v>23.999730468833835</v>
      </c>
      <c r="F33" s="59">
        <f t="shared" si="4"/>
        <v>191.10934560633996</v>
      </c>
      <c r="G33" s="59">
        <f t="shared" si="5"/>
        <v>2293.3121472760795</v>
      </c>
      <c r="H33" s="14"/>
      <c r="I33" s="16"/>
      <c r="J33" s="16"/>
      <c r="K33" s="31"/>
      <c r="L33" s="26"/>
      <c r="M33" s="26"/>
      <c r="N33" s="16"/>
      <c r="O33" s="16"/>
      <c r="P33" s="26"/>
      <c r="Q33" s="26"/>
      <c r="R33" s="32"/>
      <c r="S33" s="26"/>
      <c r="T33" s="33"/>
      <c r="U33" s="34"/>
      <c r="V33" s="35"/>
      <c r="W33" s="35"/>
      <c r="X33" s="16"/>
      <c r="Y33" s="16"/>
      <c r="Z33" s="36"/>
      <c r="AA33" s="26"/>
      <c r="AB33" s="3"/>
      <c r="AC33" s="3"/>
      <c r="AD33" s="3"/>
      <c r="AE33" s="3"/>
      <c r="AF33" s="4"/>
      <c r="AG33" s="4"/>
    </row>
    <row r="34" spans="1:34" ht="15.75" x14ac:dyDescent="0.25">
      <c r="A34" s="57">
        <v>20</v>
      </c>
      <c r="B34" s="66">
        <f t="shared" si="1"/>
        <v>0.23445982948843433</v>
      </c>
      <c r="C34" s="66">
        <f t="shared" si="2"/>
        <v>0.21766977719432912</v>
      </c>
      <c r="D34" s="66">
        <f t="shared" si="3"/>
        <v>0.24671144486240121</v>
      </c>
      <c r="E34" s="58">
        <f t="shared" si="0"/>
        <v>24.201389723393412</v>
      </c>
      <c r="F34" s="59">
        <f t="shared" si="4"/>
        <v>195.38319124036195</v>
      </c>
      <c r="G34" s="59">
        <f t="shared" si="5"/>
        <v>2344.5982948843434</v>
      </c>
      <c r="H34" s="14"/>
      <c r="I34" s="16"/>
      <c r="J34" s="16"/>
      <c r="K34" s="31"/>
      <c r="L34" s="26"/>
      <c r="M34" s="26"/>
      <c r="N34" s="16"/>
      <c r="O34" s="16"/>
      <c r="P34" s="26"/>
      <c r="Q34" s="26"/>
      <c r="R34" s="32"/>
      <c r="S34" s="26"/>
      <c r="T34" s="33"/>
      <c r="U34" s="34"/>
      <c r="V34" s="35"/>
      <c r="W34" s="35"/>
      <c r="X34" s="16"/>
      <c r="Y34" s="16"/>
      <c r="Z34" s="36"/>
      <c r="AA34" s="26"/>
      <c r="AB34" s="3"/>
      <c r="AC34" s="3"/>
      <c r="AD34" s="3"/>
      <c r="AE34" s="3"/>
      <c r="AF34" s="4"/>
      <c r="AG34" s="4"/>
    </row>
    <row r="35" spans="1:34" ht="15.75" x14ac:dyDescent="0.25">
      <c r="A35" s="57">
        <v>21</v>
      </c>
      <c r="B35" s="66">
        <f t="shared" si="1"/>
        <v>0.23971409531090099</v>
      </c>
      <c r="C35" s="66">
        <f t="shared" si="2"/>
        <v>0.22365569606717317</v>
      </c>
      <c r="D35" s="66">
        <f t="shared" si="3"/>
        <v>0.25294600959611729</v>
      </c>
      <c r="E35" s="58">
        <f t="shared" si="0"/>
        <v>24.408594607453438</v>
      </c>
      <c r="F35" s="59">
        <f t="shared" si="4"/>
        <v>199.7617460924175</v>
      </c>
      <c r="G35" s="59">
        <f t="shared" si="5"/>
        <v>2397.1409531090098</v>
      </c>
      <c r="H35" s="14"/>
      <c r="I35" s="16"/>
      <c r="J35" s="16"/>
      <c r="K35" s="31"/>
      <c r="L35" s="26"/>
      <c r="M35" s="26"/>
      <c r="N35" s="16"/>
      <c r="O35" s="16"/>
      <c r="P35" s="26"/>
      <c r="Q35" s="26"/>
      <c r="R35" s="32"/>
      <c r="S35" s="26"/>
      <c r="T35" s="33"/>
      <c r="U35" s="34"/>
      <c r="V35" s="35"/>
      <c r="W35" s="35"/>
      <c r="X35" s="16"/>
      <c r="Y35" s="16"/>
      <c r="Z35" s="36"/>
      <c r="AA35" s="26"/>
      <c r="AB35" s="3"/>
      <c r="AC35" s="3"/>
      <c r="AD35" s="3"/>
      <c r="AE35" s="3"/>
      <c r="AF35" s="4"/>
      <c r="AG35" s="4"/>
    </row>
    <row r="36" spans="1:34" ht="15.75" x14ac:dyDescent="0.25">
      <c r="A36" s="57">
        <v>22</v>
      </c>
      <c r="B36" s="66">
        <f t="shared" si="1"/>
        <v>0.24509709064601809</v>
      </c>
      <c r="C36" s="66">
        <f t="shared" si="2"/>
        <v>0.22980622770902048</v>
      </c>
      <c r="D36" s="66">
        <f t="shared" si="3"/>
        <v>0.25935202486001052</v>
      </c>
      <c r="E36" s="58">
        <f t="shared" si="0"/>
        <v>24.621497625825032</v>
      </c>
      <c r="F36" s="59">
        <f t="shared" si="4"/>
        <v>204.24757553834843</v>
      </c>
      <c r="G36" s="59">
        <f t="shared" si="5"/>
        <v>2450.9709064601811</v>
      </c>
      <c r="H36" s="14"/>
      <c r="I36" s="16"/>
      <c r="J36" s="16"/>
      <c r="K36" s="31"/>
      <c r="L36" s="26"/>
      <c r="M36" s="26"/>
      <c r="N36" s="16"/>
      <c r="O36" s="16"/>
      <c r="P36" s="26"/>
      <c r="Q36" s="26"/>
      <c r="R36" s="32"/>
      <c r="S36" s="26"/>
      <c r="T36" s="33"/>
      <c r="U36" s="34"/>
      <c r="V36" s="35"/>
      <c r="W36" s="35"/>
      <c r="X36" s="16"/>
      <c r="Y36" s="16"/>
      <c r="Z36" s="36"/>
      <c r="AA36" s="26"/>
      <c r="AB36" s="3"/>
      <c r="AC36" s="3"/>
      <c r="AD36" s="3"/>
      <c r="AE36" s="3"/>
      <c r="AF36" s="4"/>
      <c r="AG36" s="4"/>
    </row>
    <row r="37" spans="1:34" ht="15.75" x14ac:dyDescent="0.25">
      <c r="A37" s="57">
        <v>23</v>
      </c>
      <c r="B37" s="66">
        <f t="shared" si="1"/>
        <v>0.25061196936684549</v>
      </c>
      <c r="C37" s="66">
        <f t="shared" si="2"/>
        <v>0.23612589897101854</v>
      </c>
      <c r="D37" s="66">
        <f t="shared" si="3"/>
        <v>0.26593420554366082</v>
      </c>
      <c r="E37" s="58">
        <f t="shared" si="0"/>
        <v>24.840255477201897</v>
      </c>
      <c r="F37" s="59">
        <f t="shared" si="4"/>
        <v>208.84330780570457</v>
      </c>
      <c r="G37" s="59">
        <f t="shared" si="5"/>
        <v>2506.1196936684546</v>
      </c>
      <c r="H37" s="14"/>
      <c r="I37" s="16"/>
      <c r="J37" s="16"/>
      <c r="K37" s="31"/>
      <c r="L37" s="26"/>
      <c r="M37" s="26"/>
      <c r="N37" s="16"/>
      <c r="O37" s="16"/>
      <c r="P37" s="26"/>
      <c r="Q37" s="26"/>
      <c r="R37" s="32"/>
      <c r="S37" s="26"/>
      <c r="T37" s="33"/>
      <c r="U37" s="34"/>
      <c r="V37" s="35"/>
      <c r="W37" s="35"/>
      <c r="X37" s="16"/>
      <c r="Y37" s="16"/>
      <c r="Z37" s="36"/>
      <c r="AA37" s="26"/>
      <c r="AB37" s="3"/>
      <c r="AC37" s="3"/>
      <c r="AD37" s="3"/>
      <c r="AE37" s="3"/>
      <c r="AF37" s="4"/>
      <c r="AG37" s="4"/>
    </row>
    <row r="38" spans="1:34" ht="15.75" x14ac:dyDescent="0.25">
      <c r="A38" s="57">
        <v>24</v>
      </c>
      <c r="B38" s="66">
        <f t="shared" si="1"/>
        <v>0.25626196261633322</v>
      </c>
      <c r="C38" s="66">
        <f t="shared" si="2"/>
        <v>0.24261936119272157</v>
      </c>
      <c r="D38" s="66">
        <f t="shared" si="3"/>
        <v>0.2726973961961115</v>
      </c>
      <c r="E38" s="58">
        <f t="shared" si="0"/>
        <v>25.065029169491609</v>
      </c>
      <c r="F38" s="59">
        <f t="shared" si="4"/>
        <v>213.55163551361102</v>
      </c>
      <c r="G38" s="59">
        <f t="shared" si="5"/>
        <v>2562.6196261633322</v>
      </c>
      <c r="H38" s="14"/>
      <c r="I38" s="16"/>
      <c r="J38" s="16"/>
      <c r="K38" s="31"/>
      <c r="L38" s="26"/>
      <c r="M38" s="26"/>
      <c r="N38" s="16"/>
      <c r="O38" s="16"/>
      <c r="P38" s="26"/>
      <c r="Q38" s="26"/>
      <c r="R38" s="32"/>
      <c r="S38" s="26"/>
      <c r="T38" s="33"/>
      <c r="U38" s="34"/>
      <c r="V38" s="35"/>
      <c r="W38" s="35"/>
      <c r="X38" s="16"/>
      <c r="Y38" s="16"/>
      <c r="Z38" s="36"/>
      <c r="AA38" s="26"/>
      <c r="AB38" s="3"/>
      <c r="AC38" s="3"/>
      <c r="AD38" s="3"/>
      <c r="AE38" s="3"/>
      <c r="AF38" s="4"/>
      <c r="AG38" s="4"/>
    </row>
    <row r="39" spans="1:34" ht="16.5" thickBot="1" x14ac:dyDescent="0.3">
      <c r="A39" s="57">
        <v>25</v>
      </c>
      <c r="B39" s="66">
        <f t="shared" si="1"/>
        <v>0.26205038070043335</v>
      </c>
      <c r="C39" s="66">
        <f t="shared" si="2"/>
        <v>0.24929139362552138</v>
      </c>
      <c r="D39" s="66">
        <f t="shared" si="3"/>
        <v>0.2796465745915046</v>
      </c>
      <c r="E39" s="58">
        <f t="shared" si="0"/>
        <v>25.295984138319351</v>
      </c>
      <c r="F39" s="59">
        <f t="shared" si="4"/>
        <v>218.37531725036112</v>
      </c>
      <c r="G39" s="59">
        <f t="shared" si="5"/>
        <v>2620.5038070043333</v>
      </c>
      <c r="H39" s="14"/>
      <c r="I39" s="16"/>
      <c r="J39" s="16"/>
      <c r="K39" s="31"/>
      <c r="L39" s="26"/>
      <c r="M39" s="26"/>
      <c r="N39" s="16"/>
      <c r="O39" s="16"/>
      <c r="P39" s="26"/>
      <c r="Q39" s="26"/>
      <c r="R39" s="32"/>
      <c r="S39" s="26"/>
      <c r="T39" s="33"/>
      <c r="U39" s="34"/>
      <c r="V39" s="35"/>
      <c r="W39" s="35"/>
      <c r="X39" s="16"/>
      <c r="Y39" s="16"/>
      <c r="Z39" s="36"/>
      <c r="AA39" s="26"/>
      <c r="AB39" s="3"/>
      <c r="AC39" s="3"/>
      <c r="AD39" s="3"/>
      <c r="AE39" s="3"/>
      <c r="AF39" s="4"/>
      <c r="AG39" s="4"/>
    </row>
    <row r="40" spans="1:34" ht="16.5" thickBot="1" x14ac:dyDescent="0.3">
      <c r="A40" s="43"/>
      <c r="B40" s="43"/>
      <c r="C40" s="43"/>
      <c r="D40" s="43"/>
      <c r="E40" s="43"/>
      <c r="F40" s="60">
        <f>SUM(F15:F39)* 12</f>
        <v>50951.271439834367</v>
      </c>
      <c r="G40" s="61">
        <f>SUM(G15:G39)</f>
        <v>50951.271439834374</v>
      </c>
      <c r="H40" s="15"/>
      <c r="I40" s="16"/>
      <c r="J40" s="16"/>
      <c r="K40" s="36"/>
      <c r="L40" s="42"/>
      <c r="M40" s="42"/>
      <c r="N40" s="38"/>
      <c r="O40" s="42"/>
      <c r="P40" s="26"/>
      <c r="Q40" s="26"/>
      <c r="R40" s="16"/>
      <c r="S40" s="16"/>
      <c r="T40" s="16"/>
      <c r="U40" s="16"/>
      <c r="V40" s="35"/>
      <c r="W40" s="35"/>
      <c r="X40" s="16"/>
      <c r="Y40" s="16"/>
      <c r="Z40" s="36"/>
      <c r="AA40" s="26"/>
      <c r="AC40" s="3"/>
      <c r="AD40" s="3"/>
      <c r="AF40" s="4"/>
      <c r="AH40" s="11"/>
    </row>
    <row r="41" spans="1:34" x14ac:dyDescent="0.25">
      <c r="E41" t="s">
        <v>124</v>
      </c>
      <c r="I41" s="16"/>
      <c r="J41" s="16"/>
      <c r="K41" s="16"/>
      <c r="L41" s="16"/>
      <c r="M41" s="16"/>
      <c r="N41" s="16"/>
      <c r="O41" s="16"/>
      <c r="P41" s="16"/>
      <c r="Q41" s="16"/>
      <c r="R41" s="16"/>
      <c r="S41" s="16"/>
      <c r="T41" s="16"/>
      <c r="U41" s="16"/>
      <c r="V41" s="16"/>
      <c r="W41" s="16"/>
      <c r="X41" s="16"/>
      <c r="Y41" s="16"/>
      <c r="Z41" s="16"/>
      <c r="AA41" s="16"/>
    </row>
    <row r="42" spans="1:34" x14ac:dyDescent="0.25">
      <c r="I42" s="16"/>
      <c r="J42" s="16"/>
      <c r="K42" s="16"/>
      <c r="L42" s="16"/>
      <c r="M42" s="16"/>
      <c r="N42" s="16"/>
      <c r="O42" s="16"/>
      <c r="P42" s="16"/>
      <c r="Q42" s="16"/>
      <c r="R42" s="16"/>
      <c r="S42" s="16"/>
      <c r="T42" s="16"/>
      <c r="U42" s="16"/>
      <c r="V42" s="16"/>
      <c r="W42" s="16"/>
      <c r="X42" s="16"/>
      <c r="Y42" s="16"/>
      <c r="Z42" s="16"/>
      <c r="AA42" s="16"/>
    </row>
    <row r="43" spans="1:34" x14ac:dyDescent="0.25">
      <c r="I43" s="16"/>
      <c r="J43" s="16"/>
      <c r="K43" s="16"/>
      <c r="L43" s="16"/>
      <c r="M43" s="16"/>
      <c r="N43" s="16"/>
      <c r="O43" s="16"/>
      <c r="P43" s="16"/>
      <c r="Q43" s="16"/>
      <c r="R43" s="16"/>
      <c r="S43" s="16"/>
      <c r="T43" s="16"/>
      <c r="U43" s="16"/>
      <c r="V43" s="16"/>
      <c r="W43" s="16"/>
      <c r="X43" s="16"/>
      <c r="Y43" s="16"/>
      <c r="Z43" s="16"/>
      <c r="AA43" s="16"/>
    </row>
    <row r="44" spans="1:34" x14ac:dyDescent="0.25">
      <c r="I44" s="16"/>
      <c r="J44" s="16"/>
      <c r="K44" s="16"/>
      <c r="L44" s="16"/>
      <c r="M44" s="16"/>
      <c r="N44" s="16"/>
      <c r="O44" s="16"/>
      <c r="P44" s="16"/>
      <c r="Q44" s="16"/>
      <c r="R44" s="16"/>
      <c r="S44" s="16"/>
      <c r="T44" s="16"/>
      <c r="U44" s="16"/>
      <c r="V44" s="16"/>
      <c r="W44" s="16"/>
      <c r="X44" s="16"/>
      <c r="Y44" s="16"/>
      <c r="Z44" s="16"/>
      <c r="AA44" s="16"/>
    </row>
    <row r="45" spans="1:34" x14ac:dyDescent="0.25">
      <c r="I45" s="16"/>
      <c r="J45" s="16"/>
      <c r="K45" s="16"/>
      <c r="L45" s="16"/>
      <c r="M45" s="16"/>
      <c r="N45" s="16"/>
      <c r="O45" s="16"/>
      <c r="P45" s="16"/>
      <c r="Q45" s="16"/>
      <c r="R45" s="16"/>
      <c r="S45" s="16"/>
      <c r="T45" s="16"/>
      <c r="U45" s="16"/>
      <c r="V45" s="16"/>
      <c r="W45" s="16"/>
      <c r="X45" s="16"/>
      <c r="Y45" s="16"/>
      <c r="Z45" s="16"/>
      <c r="AA45" s="16"/>
    </row>
  </sheetData>
  <mergeCells count="2">
    <mergeCell ref="B9:F10"/>
    <mergeCell ref="U10:Y11"/>
  </mergeCells>
  <pageMargins left="0.7" right="0.7" top="0.75" bottom="0.75" header="0.3" footer="0.3"/>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4"/>
  <sheetViews>
    <sheetView workbookViewId="0">
      <selection activeCell="B6" sqref="B6"/>
    </sheetView>
  </sheetViews>
  <sheetFormatPr defaultRowHeight="15" x14ac:dyDescent="0.25"/>
  <cols>
    <col min="1" max="1" width="47.7109375" bestFit="1" customWidth="1"/>
    <col min="2" max="2" width="14.42578125" customWidth="1"/>
    <col min="3" max="3" width="13.42578125" bestFit="1" customWidth="1"/>
    <col min="4" max="4" width="75.28515625" bestFit="1" customWidth="1"/>
  </cols>
  <sheetData>
    <row r="1" spans="1:5" x14ac:dyDescent="0.25">
      <c r="A1" s="91" t="s">
        <v>52</v>
      </c>
      <c r="B1" s="92" t="s">
        <v>34</v>
      </c>
      <c r="C1" s="92" t="s">
        <v>35</v>
      </c>
      <c r="D1" s="92" t="s">
        <v>36</v>
      </c>
    </row>
    <row r="2" spans="1:5" x14ac:dyDescent="0.25">
      <c r="A2" s="93" t="s">
        <v>37</v>
      </c>
      <c r="B2" s="94">
        <f>'ARR CSG Calculator Cover'!G7/12</f>
        <v>833.33333333333337</v>
      </c>
      <c r="C2" s="93" t="s">
        <v>30</v>
      </c>
      <c r="D2" s="95"/>
    </row>
    <row r="3" spans="1:5" x14ac:dyDescent="0.25">
      <c r="A3" s="93" t="s">
        <v>38</v>
      </c>
      <c r="B3" s="94">
        <f>B2*1000</f>
        <v>833333.33333333337</v>
      </c>
      <c r="C3" s="93" t="s">
        <v>39</v>
      </c>
      <c r="D3" s="95"/>
      <c r="E3" t="s">
        <v>47</v>
      </c>
    </row>
    <row r="4" spans="1:5" x14ac:dyDescent="0.25">
      <c r="A4" s="93" t="s">
        <v>40</v>
      </c>
      <c r="B4" s="94">
        <f>B3/30</f>
        <v>27777.777777777777</v>
      </c>
      <c r="C4" s="93" t="s">
        <v>41</v>
      </c>
      <c r="D4" s="95"/>
      <c r="E4" t="s">
        <v>48</v>
      </c>
    </row>
    <row r="5" spans="1:5" x14ac:dyDescent="0.25">
      <c r="A5" s="93" t="s">
        <v>55</v>
      </c>
      <c r="B5" s="94">
        <f>B4/4.4</f>
        <v>6313.1313131313127</v>
      </c>
      <c r="C5" s="93" t="s">
        <v>31</v>
      </c>
      <c r="D5" s="95" t="s">
        <v>42</v>
      </c>
      <c r="E5" t="s">
        <v>49</v>
      </c>
    </row>
    <row r="6" spans="1:5" x14ac:dyDescent="0.25">
      <c r="A6" s="93" t="s">
        <v>43</v>
      </c>
      <c r="B6" s="94">
        <f>B5/0.77</f>
        <v>8198.8718352354717</v>
      </c>
      <c r="C6" s="93" t="s">
        <v>31</v>
      </c>
      <c r="D6" s="95" t="s">
        <v>44</v>
      </c>
      <c r="E6" t="s">
        <v>50</v>
      </c>
    </row>
    <row r="7" spans="1:5" x14ac:dyDescent="0.25">
      <c r="A7" s="96" t="s">
        <v>45</v>
      </c>
      <c r="B7" s="97">
        <f>B6/1000</f>
        <v>8.1988718352354724</v>
      </c>
      <c r="C7" s="96" t="s">
        <v>46</v>
      </c>
      <c r="D7" s="95"/>
      <c r="E7" t="s">
        <v>51</v>
      </c>
    </row>
    <row r="9" spans="1:5" x14ac:dyDescent="0.25">
      <c r="A9" s="98" t="s">
        <v>54</v>
      </c>
    </row>
    <row r="10" spans="1:5" x14ac:dyDescent="0.25">
      <c r="A10">
        <v>200</v>
      </c>
    </row>
    <row r="11" spans="1:5" x14ac:dyDescent="0.25">
      <c r="A11">
        <v>250</v>
      </c>
    </row>
    <row r="12" spans="1:5" x14ac:dyDescent="0.25">
      <c r="A12">
        <v>300</v>
      </c>
    </row>
    <row r="13" spans="1:5" x14ac:dyDescent="0.25">
      <c r="A13">
        <v>350</v>
      </c>
    </row>
    <row r="14" spans="1:5" x14ac:dyDescent="0.25">
      <c r="A14">
        <v>400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election activeCell="D5" sqref="D5"/>
    </sheetView>
  </sheetViews>
  <sheetFormatPr defaultRowHeight="15" x14ac:dyDescent="0.25"/>
  <cols>
    <col min="1" max="11" width="12.5703125" customWidth="1"/>
  </cols>
  <sheetData>
    <row r="1" spans="1:11" ht="21" x14ac:dyDescent="0.25">
      <c r="A1" s="113" t="s">
        <v>68</v>
      </c>
      <c r="B1" s="114" t="s">
        <v>132</v>
      </c>
      <c r="C1" s="115"/>
      <c r="D1" s="115"/>
      <c r="E1" s="115"/>
      <c r="F1" s="115"/>
      <c r="G1" s="115"/>
      <c r="H1" s="115"/>
      <c r="I1" s="115"/>
      <c r="J1" s="116"/>
      <c r="K1" s="117"/>
    </row>
    <row r="2" spans="1:11" x14ac:dyDescent="0.25">
      <c r="A2" s="221" t="s">
        <v>69</v>
      </c>
      <c r="B2" s="221"/>
      <c r="C2" s="221"/>
      <c r="D2" s="221"/>
      <c r="E2" s="222" t="s">
        <v>36</v>
      </c>
      <c r="F2" s="222"/>
      <c r="G2" s="222"/>
      <c r="H2" s="222"/>
      <c r="I2" s="222"/>
      <c r="J2" s="222"/>
      <c r="K2" s="118"/>
    </row>
    <row r="3" spans="1:11" ht="28.15" customHeight="1" x14ac:dyDescent="0.25">
      <c r="A3" s="223" t="s">
        <v>95</v>
      </c>
      <c r="B3" s="224"/>
      <c r="C3" s="225"/>
      <c r="D3" s="120">
        <f>'ARR CSG Calculator Cover'!G7</f>
        <v>10000</v>
      </c>
      <c r="E3" s="226"/>
      <c r="F3" s="226"/>
      <c r="G3" s="226"/>
      <c r="H3" s="226"/>
      <c r="I3" s="226"/>
      <c r="J3" s="226"/>
      <c r="K3" s="119"/>
    </row>
    <row r="4" spans="1:11" x14ac:dyDescent="0.25">
      <c r="A4" s="227" t="s">
        <v>70</v>
      </c>
      <c r="B4" s="227"/>
      <c r="C4" s="227"/>
      <c r="D4" s="121">
        <f>'ARR CSG Calculator Cover'!G12</f>
        <v>0.13</v>
      </c>
      <c r="E4" s="228" t="s">
        <v>71</v>
      </c>
      <c r="F4" s="228"/>
      <c r="G4" s="228"/>
      <c r="H4" s="228"/>
      <c r="I4" s="228"/>
      <c r="J4" s="228"/>
      <c r="K4" s="119"/>
    </row>
    <row r="5" spans="1:11" x14ac:dyDescent="0.25">
      <c r="A5" s="227" t="s">
        <v>72</v>
      </c>
      <c r="B5" s="227"/>
      <c r="C5" s="227"/>
      <c r="D5" s="122">
        <f>'ARR CSG Calculator Cover'!G10</f>
        <v>0.13539999999999999</v>
      </c>
      <c r="E5" s="229" t="s">
        <v>73</v>
      </c>
      <c r="F5" s="229"/>
      <c r="G5" s="229"/>
      <c r="H5" s="229"/>
      <c r="I5" s="229"/>
      <c r="J5" s="229"/>
      <c r="K5" s="119"/>
    </row>
    <row r="6" spans="1:11" x14ac:dyDescent="0.25">
      <c r="A6" s="227" t="s">
        <v>74</v>
      </c>
      <c r="B6" s="227"/>
      <c r="C6" s="227"/>
      <c r="D6" s="123">
        <f>'ARR CSG Calculator Cover'!G11</f>
        <v>0.02</v>
      </c>
      <c r="E6" s="229" t="s">
        <v>75</v>
      </c>
      <c r="F6" s="229"/>
      <c r="G6" s="229"/>
      <c r="H6" s="229"/>
      <c r="I6" s="229"/>
      <c r="J6" s="229"/>
      <c r="K6" s="119"/>
    </row>
    <row r="7" spans="1:11" x14ac:dyDescent="0.25">
      <c r="A7" s="227" t="s">
        <v>76</v>
      </c>
      <c r="B7" s="227"/>
      <c r="C7" s="227"/>
      <c r="D7" s="124">
        <f>'ARR CSG Calculator Cover'!G13</f>
        <v>2.75E-2</v>
      </c>
      <c r="E7" s="228" t="s">
        <v>77</v>
      </c>
      <c r="F7" s="228"/>
      <c r="G7" s="228"/>
      <c r="H7" s="228"/>
      <c r="I7" s="228"/>
      <c r="J7" s="228"/>
      <c r="K7" s="119"/>
    </row>
    <row r="8" spans="1:11" x14ac:dyDescent="0.25">
      <c r="A8" s="227" t="s">
        <v>78</v>
      </c>
      <c r="B8" s="227"/>
      <c r="C8" s="227"/>
      <c r="D8" s="125">
        <v>5.0000000000000001E-3</v>
      </c>
      <c r="E8" s="229" t="s">
        <v>79</v>
      </c>
      <c r="F8" s="229"/>
      <c r="G8" s="229"/>
      <c r="H8" s="229"/>
      <c r="I8" s="229"/>
      <c r="J8" s="229"/>
      <c r="K8" s="119"/>
    </row>
    <row r="9" spans="1:11" x14ac:dyDescent="0.25">
      <c r="A9" s="227" t="s">
        <v>80</v>
      </c>
      <c r="B9" s="227"/>
      <c r="C9" s="227"/>
      <c r="D9" s="125">
        <f>'ARR CSG Calculator Cover'!G14</f>
        <v>2.75E-2</v>
      </c>
      <c r="E9" s="229" t="s">
        <v>81</v>
      </c>
      <c r="F9" s="229"/>
      <c r="G9" s="229"/>
      <c r="H9" s="229"/>
      <c r="I9" s="229"/>
      <c r="J9" s="229"/>
      <c r="K9" s="119"/>
    </row>
    <row r="10" spans="1:11" x14ac:dyDescent="0.25">
      <c r="A10" s="227" t="s">
        <v>82</v>
      </c>
      <c r="B10" s="227"/>
      <c r="C10" s="227"/>
      <c r="D10" s="125">
        <v>0.04</v>
      </c>
      <c r="E10" s="229" t="s">
        <v>83</v>
      </c>
      <c r="F10" s="229"/>
      <c r="G10" s="229"/>
      <c r="H10" s="229"/>
      <c r="I10" s="229"/>
      <c r="J10" s="229"/>
      <c r="K10" s="119"/>
    </row>
    <row r="11" spans="1:11" x14ac:dyDescent="0.25">
      <c r="A11" s="126"/>
      <c r="B11" s="126"/>
      <c r="C11" s="126"/>
      <c r="D11" s="127"/>
      <c r="E11" s="127"/>
      <c r="F11" s="127"/>
      <c r="G11" s="127"/>
      <c r="H11" s="127"/>
      <c r="I11" s="127"/>
      <c r="J11" s="127"/>
      <c r="K11" s="119"/>
    </row>
    <row r="12" spans="1:11" ht="60" x14ac:dyDescent="0.25">
      <c r="A12" s="128" t="s">
        <v>84</v>
      </c>
      <c r="B12" s="128" t="s">
        <v>85</v>
      </c>
      <c r="C12" s="128" t="s">
        <v>86</v>
      </c>
      <c r="D12" s="129" t="s">
        <v>87</v>
      </c>
      <c r="E12" s="128" t="s">
        <v>88</v>
      </c>
      <c r="F12" s="128" t="s">
        <v>89</v>
      </c>
      <c r="G12" s="129" t="s">
        <v>90</v>
      </c>
      <c r="H12" s="128" t="s">
        <v>91</v>
      </c>
      <c r="I12" s="128" t="s">
        <v>92</v>
      </c>
      <c r="J12" s="129" t="s">
        <v>93</v>
      </c>
      <c r="K12" s="128" t="s">
        <v>94</v>
      </c>
    </row>
    <row r="13" spans="1:11" x14ac:dyDescent="0.25">
      <c r="A13" s="130">
        <v>1</v>
      </c>
      <c r="B13" s="131">
        <f>$D$3</f>
        <v>10000</v>
      </c>
      <c r="C13" s="132">
        <f>D4</f>
        <v>0.13</v>
      </c>
      <c r="D13" s="133">
        <f>B13*C13*-1</f>
        <v>-1300</v>
      </c>
      <c r="E13" s="134">
        <f>D5</f>
        <v>0.13539999999999999</v>
      </c>
      <c r="F13" s="134">
        <f t="shared" ref="F13:F37" si="0">E13+$D$6</f>
        <v>0.15539999999999998</v>
      </c>
      <c r="G13" s="133">
        <f>B13*F13</f>
        <v>1553.9999999999998</v>
      </c>
      <c r="H13" s="135">
        <f>D13+G13</f>
        <v>253.99999999999977</v>
      </c>
      <c r="I13" s="135">
        <f>H13</f>
        <v>253.99999999999977</v>
      </c>
      <c r="J13" s="133">
        <f t="shared" ref="J13:J37" si="1">H13/(1+$D$10)^($A13-1)</f>
        <v>253.99999999999977</v>
      </c>
      <c r="K13" s="135">
        <f>J13</f>
        <v>253.99999999999977</v>
      </c>
    </row>
    <row r="14" spans="1:11" x14ac:dyDescent="0.25">
      <c r="A14" s="130">
        <v>2</v>
      </c>
      <c r="B14" s="131">
        <f t="shared" ref="B14:B37" si="2">B13*(1-$D$8)</f>
        <v>9950</v>
      </c>
      <c r="C14" s="132">
        <f t="shared" ref="C14:C37" si="3">C13*(1+$D$7)</f>
        <v>0.13357500000000003</v>
      </c>
      <c r="D14" s="133">
        <f t="shared" ref="D14:D37" si="4">B14*C14*-1</f>
        <v>-1329.0712500000002</v>
      </c>
      <c r="E14" s="134">
        <f t="shared" ref="E14:E37" si="5">E13*(1+$D$9)</f>
        <v>0.13912350000000001</v>
      </c>
      <c r="F14" s="134">
        <f t="shared" si="0"/>
        <v>0.1591235</v>
      </c>
      <c r="G14" s="133">
        <f t="shared" ref="G14:G37" si="6">B14*F14</f>
        <v>1583.2788250000001</v>
      </c>
      <c r="H14" s="135">
        <f t="shared" ref="H14:H37" si="7">D14+G14</f>
        <v>254.20757499999991</v>
      </c>
      <c r="I14" s="135">
        <f t="shared" ref="I14:I37" si="8">I13+H14</f>
        <v>508.20757499999968</v>
      </c>
      <c r="J14" s="133">
        <f t="shared" si="1"/>
        <v>244.43036057692296</v>
      </c>
      <c r="K14" s="135">
        <f>J14+K13</f>
        <v>498.43036057692274</v>
      </c>
    </row>
    <row r="15" spans="1:11" x14ac:dyDescent="0.25">
      <c r="A15" s="130">
        <v>3</v>
      </c>
      <c r="B15" s="131">
        <f t="shared" si="2"/>
        <v>9900.25</v>
      </c>
      <c r="C15" s="132">
        <f t="shared" si="3"/>
        <v>0.13724831250000002</v>
      </c>
      <c r="D15" s="133">
        <f t="shared" si="4"/>
        <v>-1358.7926058281253</v>
      </c>
      <c r="E15" s="134">
        <f t="shared" si="5"/>
        <v>0.14294939625000003</v>
      </c>
      <c r="F15" s="134">
        <f t="shared" si="0"/>
        <v>0.16294939625000002</v>
      </c>
      <c r="G15" s="133">
        <f t="shared" si="6"/>
        <v>1613.2397602240626</v>
      </c>
      <c r="H15" s="135">
        <f t="shared" si="7"/>
        <v>254.44715439593733</v>
      </c>
      <c r="I15" s="135">
        <f t="shared" si="8"/>
        <v>762.65472939593701</v>
      </c>
      <c r="J15" s="133">
        <f t="shared" si="1"/>
        <v>235.25069748145091</v>
      </c>
      <c r="K15" s="135">
        <f t="shared" ref="K15:K37" si="9">J15+K14</f>
        <v>733.68105805837365</v>
      </c>
    </row>
    <row r="16" spans="1:11" x14ac:dyDescent="0.25">
      <c r="A16" s="130">
        <v>4</v>
      </c>
      <c r="B16" s="131">
        <f t="shared" si="2"/>
        <v>9850.7487500000007</v>
      </c>
      <c r="C16" s="132">
        <f t="shared" si="3"/>
        <v>0.14102264109375004</v>
      </c>
      <c r="D16" s="133">
        <f t="shared" si="4"/>
        <v>-1389.1786054759568</v>
      </c>
      <c r="E16" s="134">
        <f t="shared" si="5"/>
        <v>0.14688050464687505</v>
      </c>
      <c r="F16" s="134">
        <f t="shared" si="0"/>
        <v>0.16688050464687504</v>
      </c>
      <c r="G16" s="133">
        <f t="shared" si="6"/>
        <v>1643.8979225495737</v>
      </c>
      <c r="H16" s="135">
        <f t="shared" si="7"/>
        <v>254.71931707361682</v>
      </c>
      <c r="I16" s="135">
        <f t="shared" si="8"/>
        <v>1017.3740464695538</v>
      </c>
      <c r="J16" s="133">
        <f t="shared" si="1"/>
        <v>226.44454536158753</v>
      </c>
      <c r="K16" s="135">
        <f t="shared" si="9"/>
        <v>960.12560341996118</v>
      </c>
    </row>
    <row r="17" spans="1:11" x14ac:dyDescent="0.25">
      <c r="A17" s="137">
        <v>5</v>
      </c>
      <c r="B17" s="138">
        <f t="shared" si="2"/>
        <v>9801.4950062500011</v>
      </c>
      <c r="C17" s="139">
        <f t="shared" si="3"/>
        <v>0.14490076372382818</v>
      </c>
      <c r="D17" s="136">
        <f t="shared" si="4"/>
        <v>-1420.2441120409133</v>
      </c>
      <c r="E17" s="140">
        <f t="shared" si="5"/>
        <v>0.15091971852466413</v>
      </c>
      <c r="F17" s="140">
        <f t="shared" si="0"/>
        <v>0.17091971852466412</v>
      </c>
      <c r="G17" s="136">
        <f t="shared" si="6"/>
        <v>1675.2687675891511</v>
      </c>
      <c r="H17" s="136">
        <f t="shared" si="7"/>
        <v>255.02465554823789</v>
      </c>
      <c r="I17" s="136">
        <f t="shared" si="8"/>
        <v>1272.3987020177917</v>
      </c>
      <c r="J17" s="136">
        <f t="shared" si="1"/>
        <v>217.99614437854592</v>
      </c>
      <c r="K17" s="136">
        <f t="shared" si="9"/>
        <v>1178.1217477985072</v>
      </c>
    </row>
    <row r="18" spans="1:11" x14ac:dyDescent="0.25">
      <c r="A18" s="130">
        <v>6</v>
      </c>
      <c r="B18" s="131">
        <f t="shared" si="2"/>
        <v>9752.4875312187505</v>
      </c>
      <c r="C18" s="132">
        <f t="shared" si="3"/>
        <v>0.14888553472623348</v>
      </c>
      <c r="D18" s="133">
        <f t="shared" si="4"/>
        <v>-1452.0043209964283</v>
      </c>
      <c r="E18" s="134">
        <f t="shared" si="5"/>
        <v>0.15507001078409241</v>
      </c>
      <c r="F18" s="134">
        <f t="shared" si="0"/>
        <v>0.1750700107840924</v>
      </c>
      <c r="G18" s="133">
        <f t="shared" si="6"/>
        <v>1707.3680972621933</v>
      </c>
      <c r="H18" s="135">
        <f t="shared" si="7"/>
        <v>255.36377626576495</v>
      </c>
      <c r="I18" s="135">
        <f t="shared" si="8"/>
        <v>1527.7624782835567</v>
      </c>
      <c r="J18" s="133">
        <f t="shared" si="1"/>
        <v>209.89040979726255</v>
      </c>
      <c r="K18" s="135">
        <f t="shared" si="9"/>
        <v>1388.0121575957696</v>
      </c>
    </row>
    <row r="19" spans="1:11" x14ac:dyDescent="0.25">
      <c r="A19" s="130">
        <v>7</v>
      </c>
      <c r="B19" s="131">
        <f t="shared" si="2"/>
        <v>9703.7250935626562</v>
      </c>
      <c r="C19" s="132">
        <f t="shared" si="3"/>
        <v>0.1529798869312049</v>
      </c>
      <c r="D19" s="133">
        <f t="shared" si="4"/>
        <v>-1484.4747676247109</v>
      </c>
      <c r="E19" s="134">
        <f t="shared" si="5"/>
        <v>0.15933443608065495</v>
      </c>
      <c r="F19" s="134">
        <f t="shared" si="0"/>
        <v>0.17933443608065494</v>
      </c>
      <c r="G19" s="133">
        <f t="shared" si="6"/>
        <v>1740.2120675357596</v>
      </c>
      <c r="H19" s="135">
        <f t="shared" si="7"/>
        <v>255.73729991104869</v>
      </c>
      <c r="I19" s="135">
        <f t="shared" si="8"/>
        <v>1783.4997781946054</v>
      </c>
      <c r="J19" s="133">
        <f t="shared" si="1"/>
        <v>202.11290289070848</v>
      </c>
      <c r="K19" s="135">
        <f t="shared" si="9"/>
        <v>1590.1250604864781</v>
      </c>
    </row>
    <row r="20" spans="1:11" x14ac:dyDescent="0.25">
      <c r="A20" s="130">
        <v>8</v>
      </c>
      <c r="B20" s="131">
        <f t="shared" si="2"/>
        <v>9655.2064680948424</v>
      </c>
      <c r="C20" s="132">
        <f t="shared" si="3"/>
        <v>0.15718683382181306</v>
      </c>
      <c r="D20" s="133">
        <f t="shared" si="4"/>
        <v>-1517.6713346157187</v>
      </c>
      <c r="E20" s="134">
        <f t="shared" si="5"/>
        <v>0.16371613307287297</v>
      </c>
      <c r="F20" s="134">
        <f t="shared" si="0"/>
        <v>0.18371613307287296</v>
      </c>
      <c r="G20" s="133">
        <f t="shared" si="6"/>
        <v>1773.8171963385757</v>
      </c>
      <c r="H20" s="135">
        <f t="shared" si="7"/>
        <v>256.14586172285703</v>
      </c>
      <c r="I20" s="135">
        <f t="shared" si="8"/>
        <v>2039.6456399174624</v>
      </c>
      <c r="J20" s="133">
        <f t="shared" si="1"/>
        <v>194.64980310119159</v>
      </c>
      <c r="K20" s="135">
        <f t="shared" si="9"/>
        <v>1784.7748635876696</v>
      </c>
    </row>
    <row r="21" spans="1:11" x14ac:dyDescent="0.25">
      <c r="A21" s="130">
        <v>9</v>
      </c>
      <c r="B21" s="131">
        <f t="shared" si="2"/>
        <v>9606.9304357543679</v>
      </c>
      <c r="C21" s="132">
        <f t="shared" si="3"/>
        <v>0.16150947175191294</v>
      </c>
      <c r="D21" s="133">
        <f t="shared" si="4"/>
        <v>-1551.6102598360628</v>
      </c>
      <c r="E21" s="134">
        <f t="shared" si="5"/>
        <v>0.16821832673237699</v>
      </c>
      <c r="F21" s="134">
        <f t="shared" si="0"/>
        <v>0.18821832673237698</v>
      </c>
      <c r="G21" s="133">
        <f t="shared" si="6"/>
        <v>1808.2003716520323</v>
      </c>
      <c r="H21" s="135">
        <f t="shared" si="7"/>
        <v>256.59011181596952</v>
      </c>
      <c r="I21" s="135">
        <f t="shared" si="8"/>
        <v>2296.2357517334322</v>
      </c>
      <c r="J21" s="133">
        <f t="shared" si="1"/>
        <v>187.48788140429272</v>
      </c>
      <c r="K21" s="135">
        <f t="shared" si="9"/>
        <v>1972.2627449919623</v>
      </c>
    </row>
    <row r="22" spans="1:11" x14ac:dyDescent="0.25">
      <c r="A22" s="137">
        <v>10</v>
      </c>
      <c r="B22" s="138">
        <f t="shared" si="2"/>
        <v>9558.8957835755955</v>
      </c>
      <c r="C22" s="139">
        <f t="shared" si="3"/>
        <v>0.16595098222509055</v>
      </c>
      <c r="D22" s="136">
        <f t="shared" si="4"/>
        <v>-1586.3081442716466</v>
      </c>
      <c r="E22" s="140">
        <f t="shared" si="5"/>
        <v>0.17284433071751737</v>
      </c>
      <c r="F22" s="140">
        <f t="shared" si="0"/>
        <v>0.19284433071751736</v>
      </c>
      <c r="G22" s="136">
        <f t="shared" si="6"/>
        <v>1843.3788597821344</v>
      </c>
      <c r="H22" s="136">
        <f t="shared" si="7"/>
        <v>257.07071551048784</v>
      </c>
      <c r="I22" s="136">
        <f t="shared" si="8"/>
        <v>2553.30646724392</v>
      </c>
      <c r="J22" s="136">
        <f t="shared" si="1"/>
        <v>180.61447482342788</v>
      </c>
      <c r="K22" s="136">
        <f t="shared" si="9"/>
        <v>2152.8772198153902</v>
      </c>
    </row>
    <row r="23" spans="1:11" x14ac:dyDescent="0.25">
      <c r="A23" s="130">
        <v>11</v>
      </c>
      <c r="B23" s="131">
        <f t="shared" si="2"/>
        <v>9511.1013046577173</v>
      </c>
      <c r="C23" s="132">
        <f t="shared" si="3"/>
        <v>0.17051463423628055</v>
      </c>
      <c r="D23" s="133">
        <f t="shared" si="4"/>
        <v>-1621.7819601479214</v>
      </c>
      <c r="E23" s="134">
        <f t="shared" si="5"/>
        <v>0.17759754981224912</v>
      </c>
      <c r="F23" s="134">
        <f t="shared" si="0"/>
        <v>0.19759754981224911</v>
      </c>
      <c r="G23" s="133">
        <f t="shared" si="6"/>
        <v>1879.3703138164508</v>
      </c>
      <c r="H23" s="135">
        <f t="shared" si="7"/>
        <v>257.58835366852941</v>
      </c>
      <c r="I23" s="135">
        <f t="shared" si="8"/>
        <v>2810.8948209124492</v>
      </c>
      <c r="J23" s="133">
        <f t="shared" si="1"/>
        <v>174.0174620452859</v>
      </c>
      <c r="K23" s="135">
        <f t="shared" si="9"/>
        <v>2326.894681860676</v>
      </c>
    </row>
    <row r="24" spans="1:11" x14ac:dyDescent="0.25">
      <c r="A24" s="130">
        <v>12</v>
      </c>
      <c r="B24" s="131">
        <f t="shared" si="2"/>
        <v>9463.545798134428</v>
      </c>
      <c r="C24" s="132">
        <f t="shared" si="3"/>
        <v>0.17520378667777828</v>
      </c>
      <c r="D24" s="133">
        <f t="shared" si="4"/>
        <v>-1658.0490592317292</v>
      </c>
      <c r="E24" s="134">
        <f t="shared" si="5"/>
        <v>0.18248148243208598</v>
      </c>
      <c r="F24" s="134">
        <f t="shared" si="0"/>
        <v>0.20248148243208597</v>
      </c>
      <c r="G24" s="133">
        <f t="shared" si="6"/>
        <v>1916.1927822701971</v>
      </c>
      <c r="H24" s="135">
        <f t="shared" si="7"/>
        <v>258.1437230384679</v>
      </c>
      <c r="I24" s="135">
        <f t="shared" si="8"/>
        <v>3069.0385439509173</v>
      </c>
      <c r="J24" s="133">
        <f t="shared" si="1"/>
        <v>167.68524008853819</v>
      </c>
      <c r="K24" s="135">
        <f t="shared" si="9"/>
        <v>2494.5799219492142</v>
      </c>
    </row>
    <row r="25" spans="1:11" x14ac:dyDescent="0.25">
      <c r="A25" s="130">
        <v>13</v>
      </c>
      <c r="B25" s="131">
        <f t="shared" si="2"/>
        <v>9416.2280691437554</v>
      </c>
      <c r="C25" s="132">
        <f t="shared" si="3"/>
        <v>0.1800218908114172</v>
      </c>
      <c r="D25" s="133">
        <f t="shared" si="4"/>
        <v>-1695.1271813187989</v>
      </c>
      <c r="E25" s="134">
        <f t="shared" si="5"/>
        <v>0.18749972319896835</v>
      </c>
      <c r="F25" s="134">
        <f t="shared" si="0"/>
        <v>0.20749972319896834</v>
      </c>
      <c r="G25" s="133">
        <f t="shared" si="6"/>
        <v>1953.8647179256855</v>
      </c>
      <c r="H25" s="135">
        <f t="shared" si="7"/>
        <v>258.73753660688658</v>
      </c>
      <c r="I25" s="135">
        <f t="shared" si="8"/>
        <v>3327.7760805578037</v>
      </c>
      <c r="J25" s="133">
        <f t="shared" si="1"/>
        <v>161.60670198027546</v>
      </c>
      <c r="K25" s="135">
        <f t="shared" si="9"/>
        <v>2656.1866239294895</v>
      </c>
    </row>
    <row r="26" spans="1:11" x14ac:dyDescent="0.25">
      <c r="A26" s="130">
        <v>14</v>
      </c>
      <c r="B26" s="131">
        <f t="shared" si="2"/>
        <v>9369.1469287980362</v>
      </c>
      <c r="C26" s="132">
        <f t="shared" si="3"/>
        <v>0.18497249280873118</v>
      </c>
      <c r="D26" s="133">
        <f t="shared" si="4"/>
        <v>-1733.0344629110407</v>
      </c>
      <c r="E26" s="134">
        <f t="shared" si="5"/>
        <v>0.19265596558693998</v>
      </c>
      <c r="F26" s="134">
        <f t="shared" si="0"/>
        <v>0.21265596558693997</v>
      </c>
      <c r="G26" s="133">
        <f t="shared" si="6"/>
        <v>1992.4049868694594</v>
      </c>
      <c r="H26" s="135">
        <f t="shared" si="7"/>
        <v>259.37052395841874</v>
      </c>
      <c r="I26" s="135">
        <f t="shared" si="8"/>
        <v>3587.1466045162224</v>
      </c>
      <c r="J26" s="133">
        <f t="shared" si="1"/>
        <v>155.77121539659996</v>
      </c>
      <c r="K26" s="135">
        <f t="shared" si="9"/>
        <v>2811.9578393260895</v>
      </c>
    </row>
    <row r="27" spans="1:11" x14ac:dyDescent="0.25">
      <c r="A27" s="137">
        <v>15</v>
      </c>
      <c r="B27" s="138">
        <f t="shared" si="2"/>
        <v>9322.3011941540462</v>
      </c>
      <c r="C27" s="139">
        <f t="shared" si="3"/>
        <v>0.1900592363609713</v>
      </c>
      <c r="D27" s="136">
        <f t="shared" si="4"/>
        <v>-1771.7894460878888</v>
      </c>
      <c r="E27" s="140">
        <f t="shared" si="5"/>
        <v>0.19795400464058086</v>
      </c>
      <c r="F27" s="140">
        <f t="shared" si="0"/>
        <v>0.21795400464058085</v>
      </c>
      <c r="G27" s="136">
        <f t="shared" si="6"/>
        <v>2031.8328777315432</v>
      </c>
      <c r="H27" s="136">
        <f t="shared" si="7"/>
        <v>260.04343164365446</v>
      </c>
      <c r="I27" s="136">
        <f t="shared" si="8"/>
        <v>3847.1900361598769</v>
      </c>
      <c r="J27" s="136">
        <f t="shared" si="1"/>
        <v>150.16860222568596</v>
      </c>
      <c r="K27" s="136">
        <f t="shared" si="9"/>
        <v>2962.1264415517753</v>
      </c>
    </row>
    <row r="28" spans="1:11" x14ac:dyDescent="0.25">
      <c r="A28" s="130">
        <v>16</v>
      </c>
      <c r="B28" s="131">
        <f t="shared" si="2"/>
        <v>9275.6896881832763</v>
      </c>
      <c r="C28" s="132">
        <f t="shared" si="3"/>
        <v>0.19528586536089804</v>
      </c>
      <c r="D28" s="133">
        <f t="shared" si="4"/>
        <v>-1811.4110875760296</v>
      </c>
      <c r="E28" s="134">
        <f t="shared" si="5"/>
        <v>0.20339773976819683</v>
      </c>
      <c r="F28" s="134">
        <f t="shared" si="0"/>
        <v>0.22339773976819682</v>
      </c>
      <c r="G28" s="133">
        <f t="shared" si="6"/>
        <v>2072.1681111313142</v>
      </c>
      <c r="H28" s="135">
        <f t="shared" si="7"/>
        <v>260.7570235552846</v>
      </c>
      <c r="I28" s="135">
        <f t="shared" si="8"/>
        <v>4107.9470597151612</v>
      </c>
      <c r="J28" s="133">
        <f t="shared" si="1"/>
        <v>144.7891190134188</v>
      </c>
      <c r="K28" s="135">
        <f t="shared" si="9"/>
        <v>3106.915560565194</v>
      </c>
    </row>
    <row r="29" spans="1:11" x14ac:dyDescent="0.25">
      <c r="A29" s="130">
        <v>17</v>
      </c>
      <c r="B29" s="131">
        <f t="shared" si="2"/>
        <v>9229.3112397423592</v>
      </c>
      <c r="C29" s="132">
        <f t="shared" si="3"/>
        <v>0.20065622665832275</v>
      </c>
      <c r="D29" s="133">
        <f t="shared" si="4"/>
        <v>-1851.9187680219486</v>
      </c>
      <c r="E29" s="134">
        <f t="shared" si="5"/>
        <v>0.20899117761182226</v>
      </c>
      <c r="F29" s="134">
        <f t="shared" si="0"/>
        <v>0.22899117761182225</v>
      </c>
      <c r="G29" s="133">
        <f t="shared" si="6"/>
        <v>2113.4308493346298</v>
      </c>
      <c r="H29" s="135">
        <f t="shared" si="7"/>
        <v>261.51208131268118</v>
      </c>
      <c r="I29" s="135">
        <f t="shared" si="8"/>
        <v>4369.4591410278426</v>
      </c>
      <c r="J29" s="133">
        <f t="shared" si="1"/>
        <v>139.62343825346093</v>
      </c>
      <c r="K29" s="135">
        <f t="shared" si="9"/>
        <v>3246.5389988186548</v>
      </c>
    </row>
    <row r="30" spans="1:11" x14ac:dyDescent="0.25">
      <c r="A30" s="130">
        <v>18</v>
      </c>
      <c r="B30" s="131">
        <f t="shared" si="2"/>
        <v>9183.1646835436477</v>
      </c>
      <c r="C30" s="132">
        <f t="shared" si="3"/>
        <v>0.20617427289142665</v>
      </c>
      <c r="D30" s="133">
        <f t="shared" si="4"/>
        <v>-1893.3323014718396</v>
      </c>
      <c r="E30" s="134">
        <f t="shared" si="5"/>
        <v>0.21473843499614739</v>
      </c>
      <c r="F30" s="134">
        <f t="shared" si="0"/>
        <v>0.23473843499614738</v>
      </c>
      <c r="G30" s="133">
        <f t="shared" si="6"/>
        <v>2155.6417061269267</v>
      </c>
      <c r="H30" s="135">
        <f t="shared" si="7"/>
        <v>262.30940465508706</v>
      </c>
      <c r="I30" s="135">
        <f t="shared" si="8"/>
        <v>4631.7685456829295</v>
      </c>
      <c r="J30" s="133">
        <f t="shared" si="1"/>
        <v>134.66263048522751</v>
      </c>
      <c r="K30" s="135">
        <f t="shared" si="9"/>
        <v>3381.2016293038823</v>
      </c>
    </row>
    <row r="31" spans="1:11" x14ac:dyDescent="0.25">
      <c r="A31" s="130">
        <v>19</v>
      </c>
      <c r="B31" s="131">
        <f t="shared" si="2"/>
        <v>9137.2488601259302</v>
      </c>
      <c r="C31" s="132">
        <f t="shared" si="3"/>
        <v>0.21184406539594089</v>
      </c>
      <c r="D31" s="133">
        <f t="shared" si="4"/>
        <v>-1935.6719450635039</v>
      </c>
      <c r="E31" s="134">
        <f t="shared" si="5"/>
        <v>0.22064374195854147</v>
      </c>
      <c r="F31" s="134">
        <f t="shared" si="0"/>
        <v>0.24064374195854146</v>
      </c>
      <c r="G31" s="133">
        <f t="shared" si="6"/>
        <v>2198.8217569071217</v>
      </c>
      <c r="H31" s="135">
        <f t="shared" si="7"/>
        <v>263.14981184361773</v>
      </c>
      <c r="I31" s="135">
        <f t="shared" si="8"/>
        <v>4894.918357526547</v>
      </c>
      <c r="J31" s="133">
        <f t="shared" si="1"/>
        <v>129.89814716484676</v>
      </c>
      <c r="K31" s="135">
        <f t="shared" si="9"/>
        <v>3511.099776468729</v>
      </c>
    </row>
    <row r="32" spans="1:11" x14ac:dyDescent="0.25">
      <c r="A32" s="137">
        <v>20</v>
      </c>
      <c r="B32" s="138">
        <f t="shared" si="2"/>
        <v>9091.5626158252999</v>
      </c>
      <c r="C32" s="139">
        <f t="shared" si="3"/>
        <v>0.21766977719432928</v>
      </c>
      <c r="D32" s="136">
        <f t="shared" si="4"/>
        <v>-1978.9584089349864</v>
      </c>
      <c r="E32" s="140">
        <f t="shared" si="5"/>
        <v>0.22671144486240138</v>
      </c>
      <c r="F32" s="140">
        <f t="shared" si="0"/>
        <v>0.24671144486240137</v>
      </c>
      <c r="G32" s="136">
        <f t="shared" si="6"/>
        <v>2242.9925490072533</v>
      </c>
      <c r="H32" s="136">
        <f t="shared" si="7"/>
        <v>264.03414007226684</v>
      </c>
      <c r="I32" s="136">
        <f t="shared" si="8"/>
        <v>5158.9524975988134</v>
      </c>
      <c r="J32" s="136">
        <f t="shared" si="1"/>
        <v>125.3218042756847</v>
      </c>
      <c r="K32" s="136">
        <f t="shared" si="9"/>
        <v>3636.4215807444139</v>
      </c>
    </row>
    <row r="33" spans="1:11" x14ac:dyDescent="0.25">
      <c r="A33" s="130">
        <v>21</v>
      </c>
      <c r="B33" s="131">
        <f t="shared" si="2"/>
        <v>9046.1048027461729</v>
      </c>
      <c r="C33" s="132">
        <f t="shared" si="3"/>
        <v>0.22365569606717337</v>
      </c>
      <c r="D33" s="133">
        <f t="shared" si="4"/>
        <v>-2023.2128663547953</v>
      </c>
      <c r="E33" s="134">
        <f t="shared" si="5"/>
        <v>0.23294600959611744</v>
      </c>
      <c r="F33" s="134">
        <f t="shared" si="0"/>
        <v>0.25294600959611746</v>
      </c>
      <c r="G33" s="133">
        <f t="shared" si="6"/>
        <v>2288.1761122429175</v>
      </c>
      <c r="H33" s="135">
        <f t="shared" si="7"/>
        <v>264.96324588812217</v>
      </c>
      <c r="I33" s="135">
        <f t="shared" si="8"/>
        <v>5423.9157434869358</v>
      </c>
      <c r="J33" s="133">
        <f t="shared" si="1"/>
        <v>120.92576664646214</v>
      </c>
      <c r="K33" s="135">
        <f t="shared" si="9"/>
        <v>3757.3473473908762</v>
      </c>
    </row>
    <row r="34" spans="1:11" x14ac:dyDescent="0.25">
      <c r="A34" s="130">
        <v>22</v>
      </c>
      <c r="B34" s="131">
        <f t="shared" si="2"/>
        <v>9000.8742787324427</v>
      </c>
      <c r="C34" s="132">
        <f t="shared" si="3"/>
        <v>0.22980622770902065</v>
      </c>
      <c r="D34" s="133">
        <f t="shared" si="4"/>
        <v>-2068.4569640786549</v>
      </c>
      <c r="E34" s="134">
        <f t="shared" si="5"/>
        <v>0.2393520248600107</v>
      </c>
      <c r="F34" s="134">
        <f t="shared" si="0"/>
        <v>0.25935202486001069</v>
      </c>
      <c r="G34" s="133">
        <f t="shared" si="6"/>
        <v>2334.3949696996474</v>
      </c>
      <c r="H34" s="135">
        <f t="shared" si="7"/>
        <v>265.9380056209925</v>
      </c>
      <c r="I34" s="135">
        <f t="shared" si="8"/>
        <v>5689.8537491079278</v>
      </c>
      <c r="J34" s="133">
        <f t="shared" si="1"/>
        <v>116.7025329463719</v>
      </c>
      <c r="K34" s="135">
        <f t="shared" si="9"/>
        <v>3874.0498803372479</v>
      </c>
    </row>
    <row r="35" spans="1:11" x14ac:dyDescent="0.25">
      <c r="A35" s="130">
        <v>23</v>
      </c>
      <c r="B35" s="131">
        <f t="shared" si="2"/>
        <v>8955.8699073387797</v>
      </c>
      <c r="C35" s="132">
        <f t="shared" si="3"/>
        <v>0.23612589897101874</v>
      </c>
      <c r="D35" s="133">
        <f t="shared" si="4"/>
        <v>-2114.7128329378638</v>
      </c>
      <c r="E35" s="134">
        <f t="shared" si="5"/>
        <v>0.24593420554366102</v>
      </c>
      <c r="F35" s="134">
        <f t="shared" si="0"/>
        <v>0.26593420554366104</v>
      </c>
      <c r="G35" s="133">
        <f t="shared" si="6"/>
        <v>2381.6721487605196</v>
      </c>
      <c r="H35" s="135">
        <f t="shared" si="7"/>
        <v>266.95931582265575</v>
      </c>
      <c r="I35" s="135">
        <f t="shared" si="8"/>
        <v>5956.813064930584</v>
      </c>
      <c r="J35" s="133">
        <f t="shared" si="1"/>
        <v>112.6449213279291</v>
      </c>
      <c r="K35" s="135">
        <f t="shared" si="9"/>
        <v>3986.6948016651772</v>
      </c>
    </row>
    <row r="36" spans="1:11" x14ac:dyDescent="0.25">
      <c r="A36" s="130">
        <v>24</v>
      </c>
      <c r="B36" s="131">
        <f t="shared" si="2"/>
        <v>8911.0905578020866</v>
      </c>
      <c r="C36" s="132">
        <f t="shared" si="3"/>
        <v>0.24261936119272176</v>
      </c>
      <c r="D36" s="133">
        <f t="shared" si="4"/>
        <v>-2162.0030986644369</v>
      </c>
      <c r="E36" s="134">
        <f t="shared" si="5"/>
        <v>0.2526973961961117</v>
      </c>
      <c r="F36" s="134">
        <f t="shared" si="0"/>
        <v>0.27269739619611172</v>
      </c>
      <c r="G36" s="133">
        <f t="shared" si="6"/>
        <v>2430.0311923803856</v>
      </c>
      <c r="H36" s="135">
        <f t="shared" si="7"/>
        <v>268.02809371594867</v>
      </c>
      <c r="I36" s="135">
        <f t="shared" si="8"/>
        <v>6224.8411586465327</v>
      </c>
      <c r="J36" s="133">
        <f t="shared" si="1"/>
        <v>108.74605568955494</v>
      </c>
      <c r="K36" s="135">
        <f t="shared" si="9"/>
        <v>4095.4408573547321</v>
      </c>
    </row>
    <row r="37" spans="1:11" x14ac:dyDescent="0.25">
      <c r="A37" s="137">
        <v>25</v>
      </c>
      <c r="B37" s="138">
        <f t="shared" si="2"/>
        <v>8866.5351050130757</v>
      </c>
      <c r="C37" s="139">
        <f t="shared" si="3"/>
        <v>0.24929139362552163</v>
      </c>
      <c r="D37" s="136">
        <f t="shared" si="4"/>
        <v>-2210.3508929583204</v>
      </c>
      <c r="E37" s="140">
        <f t="shared" si="5"/>
        <v>0.25964657459150481</v>
      </c>
      <c r="F37" s="140">
        <f t="shared" si="0"/>
        <v>0.27964657459150483</v>
      </c>
      <c r="G37" s="136">
        <f t="shared" si="6"/>
        <v>2479.4961706122353</v>
      </c>
      <c r="H37" s="136">
        <f t="shared" si="7"/>
        <v>269.14527765391495</v>
      </c>
      <c r="I37" s="136">
        <f t="shared" si="8"/>
        <v>6493.9864363004472</v>
      </c>
      <c r="J37" s="136">
        <f t="shared" si="1"/>
        <v>104.99935253110348</v>
      </c>
      <c r="K37" s="136">
        <f t="shared" si="9"/>
        <v>4200.4402098858354</v>
      </c>
    </row>
  </sheetData>
  <mergeCells count="18">
    <mergeCell ref="A5:C5"/>
    <mergeCell ref="E5:J5"/>
    <mergeCell ref="A9:C9"/>
    <mergeCell ref="E9:J9"/>
    <mergeCell ref="A10:C10"/>
    <mergeCell ref="E10:J10"/>
    <mergeCell ref="A6:C6"/>
    <mergeCell ref="E6:J6"/>
    <mergeCell ref="A7:C7"/>
    <mergeCell ref="E7:J7"/>
    <mergeCell ref="A8:C8"/>
    <mergeCell ref="E8:J8"/>
    <mergeCell ref="A2:D2"/>
    <mergeCell ref="E2:J2"/>
    <mergeCell ref="A3:C3"/>
    <mergeCell ref="E3:J3"/>
    <mergeCell ref="A4:C4"/>
    <mergeCell ref="E4:J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C3AB86A27D5F42A346487301B5F6C1" ma:contentTypeVersion="15" ma:contentTypeDescription="Create a new document." ma:contentTypeScope="" ma:versionID="274a968191c3330fbb6889e031faa375">
  <xsd:schema xmlns:xsd="http://www.w3.org/2001/XMLSchema" xmlns:xs="http://www.w3.org/2001/XMLSchema" xmlns:p="http://schemas.microsoft.com/office/2006/metadata/properties" xmlns:ns2="f5807569-94f0-41d0-a3d7-00e33efdd08f" xmlns:ns3="deae0b55-203e-4120-8ec9-56200b9d0530" targetNamespace="http://schemas.microsoft.com/office/2006/metadata/properties" ma:root="true" ma:fieldsID="96dbef0057df7241567fe30eb8b93d42" ns2:_="" ns3:_="">
    <xsd:import namespace="f5807569-94f0-41d0-a3d7-00e33efdd08f"/>
    <xsd:import namespace="deae0b55-203e-4120-8ec9-56200b9d0530"/>
    <xsd:element name="properties">
      <xsd:complexType>
        <xsd:sequence>
          <xsd:element name="documentManagement">
            <xsd:complexType>
              <xsd:all>
                <xsd:element ref="ns2:SharedWithUsers" minOccurs="0"/>
                <xsd:element ref="ns2:SharingHintHash" minOccurs="0"/>
                <xsd:element ref="ns2:SharedWithDetails" minOccurs="0"/>
                <xsd:element ref="ns2:LastSharedByUser" minOccurs="0"/>
                <xsd:element ref="ns2:LastSharedByTime" minOccurs="0"/>
                <xsd:element ref="ns3:This_x0020_doc_x0020_is_x0020_a_x0020_PDF_x0020_that_x0027_s_x0020_been_x0020_CONVERTED_x0020_to_x0020_Word_x002e__x0020_If_x0020_you_x0020_have_x0020_any_x0020_issues_x002c__x0020_please_x0020_advise_x0020_Klara_x002e_" minOccurs="0"/>
                <xsd:element ref="ns3:MediaServiceMetadata" minOccurs="0"/>
                <xsd:element ref="ns3:MediaServiceFastMetadata"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807569-94f0-41d0-a3d7-00e33efdd08f" elementFormDefault="qualified">
    <xsd:import namespace="http://schemas.microsoft.com/office/2006/documentManagement/types"/>
    <xsd:import namespace="http://schemas.microsoft.com/office/infopath/2007/PartnerControls"/>
    <xsd:element name="SharedWithUsers" ma:index="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3"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eae0b55-203e-4120-8ec9-56200b9d0530" elementFormDefault="qualified">
    <xsd:import namespace="http://schemas.microsoft.com/office/2006/documentManagement/types"/>
    <xsd:import namespace="http://schemas.microsoft.com/office/infopath/2007/PartnerControls"/>
    <xsd:element name="This_x0020_doc_x0020_is_x0020_a_x0020_PDF_x0020_that_x0027_s_x0020_been_x0020_CONVERTED_x0020_to_x0020_Word_x002e__x0020_If_x0020_you_x0020_have_x0020_any_x0020_issues_x002c__x0020_please_x0020_advise_x0020_Klara_x002e_" ma:index="13" nillable="true" ma:displayName=".." ma:internalName="This_x0020_doc_x0020_is_x0020_a_x0020_PDF_x0020_that_x0027_s_x0020_been_x0020_CONVERTED_x0020_to_x0020_Word_x002e__x0020_If_x0020_you_x0020_have_x0020_any_x0020_issues_x002c__x0020_please_x0020_advise_x0020_Klara_x002e_">
      <xsd:simpleType>
        <xsd:restriction base="dms:Note">
          <xsd:maxLength value="255"/>
        </xsd:restriction>
      </xsd:simpleType>
    </xsd:element>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his_x0020_doc_x0020_is_x0020_a_x0020_PDF_x0020_that_x0027_s_x0020_been_x0020_CONVERTED_x0020_to_x0020_Word_x002e__x0020_If_x0020_you_x0020_have_x0020_any_x0020_issues_x002c__x0020_please_x0020_advise_x0020_Klara_x002e_ xmlns="deae0b55-203e-4120-8ec9-56200b9d0530" xsi:nil="true"/>
  </documentManagement>
</p:properties>
</file>

<file path=customXml/itemProps1.xml><?xml version="1.0" encoding="utf-8"?>
<ds:datastoreItem xmlns:ds="http://schemas.openxmlformats.org/officeDocument/2006/customXml" ds:itemID="{647E9EAA-70DC-4B1D-864A-9D4287A156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807569-94f0-41d0-a3d7-00e33efdd08f"/>
    <ds:schemaRef ds:uri="deae0b55-203e-4120-8ec9-56200b9d05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3CFEF0-B2C4-4483-9738-C758C7CB3E41}">
  <ds:schemaRefs>
    <ds:schemaRef ds:uri="http://schemas.microsoft.com/sharepoint/v3/contenttype/forms"/>
  </ds:schemaRefs>
</ds:datastoreItem>
</file>

<file path=customXml/itemProps3.xml><?xml version="1.0" encoding="utf-8"?>
<ds:datastoreItem xmlns:ds="http://schemas.openxmlformats.org/officeDocument/2006/customXml" ds:itemID="{D2706D51-E3C1-4289-BDC8-CDE1EDCAC42B}">
  <ds:schemaRefs>
    <ds:schemaRef ds:uri="http://purl.org/dc/elements/1.1/"/>
    <ds:schemaRef ds:uri="http://schemas.microsoft.com/office/2006/metadata/properties"/>
    <ds:schemaRef ds:uri="f5807569-94f0-41d0-a3d7-00e33efdd08f"/>
    <ds:schemaRef ds:uri="http://schemas.microsoft.com/office/2006/documentManagement/types"/>
    <ds:schemaRef ds:uri="http://schemas.openxmlformats.org/package/2006/metadata/core-properties"/>
    <ds:schemaRef ds:uri="http://purl.org/dc/dcmitype/"/>
    <ds:schemaRef ds:uri="deae0b55-203e-4120-8ec9-56200b9d0530"/>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ARR CSG Calculator Cover</vt:lpstr>
      <vt:lpstr>ARR Rates</vt:lpstr>
      <vt:lpstr>PAYASGO </vt:lpstr>
      <vt:lpstr>system size</vt:lpstr>
      <vt:lpstr>Breakdown</vt:lpstr>
      <vt:lpstr>'ARR CSG Calculator Cover'!Print_Area</vt:lpstr>
      <vt:lpstr>rates</vt:lpstr>
      <vt:lpstr>size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meyer</dc:creator>
  <cp:lastModifiedBy>Lissa S Pawlisch</cp:lastModifiedBy>
  <cp:lastPrinted>2015-10-26T19:21:21Z</cp:lastPrinted>
  <dcterms:created xsi:type="dcterms:W3CDTF">2015-01-11T17:03:00Z</dcterms:created>
  <dcterms:modified xsi:type="dcterms:W3CDTF">2020-09-04T21:01:15Z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0x01010088C3AB86A27D5F42A346487301B5F6C1</vt:lpwstr>
  </property>
</Properties>
</file>