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Users\jgreene\Downloads\"/>
    </mc:Choice>
  </mc:AlternateContent>
  <xr:revisionPtr revIDLastSave="0" documentId="13_ncr:1_{02F33245-0FC9-4B02-AD57-83AA9C85B3EF}" xr6:coauthVersionLast="41" xr6:coauthVersionMax="41" xr10:uidLastSave="{00000000-0000-0000-0000-000000000000}"/>
  <bookViews>
    <workbookView xWindow="-103" yWindow="-103" windowWidth="23657" windowHeight="15240" tabRatio="808" activeTab="1" xr2:uid="{00000000-000D-0000-FFFF-FFFF00000000}"/>
  </bookViews>
  <sheets>
    <sheet name="Introduction - Start Here!" sheetId="39" r:id="rId1"/>
    <sheet name="Summary" sheetId="2" r:id="rId2"/>
    <sheet name="Example Site 1" sheetId="8" r:id="rId3"/>
    <sheet name="Example Site 2" sheetId="28" r:id="rId4"/>
    <sheet name="Example Site 3" sheetId="29" r:id="rId5"/>
    <sheet name="Site 4" sheetId="30" r:id="rId6"/>
    <sheet name="Site 5" sheetId="31" r:id="rId7"/>
    <sheet name="Site 6" sheetId="32" r:id="rId8"/>
    <sheet name="Site 7" sheetId="33" r:id="rId9"/>
    <sheet name="Site 8" sheetId="34" r:id="rId10"/>
    <sheet name="Demand Charge Calculations" sheetId="35" r:id="rId11"/>
    <sheet name="Demand Reduction Curves" sheetId="38" r:id="rId12"/>
    <sheet name="system size" sheetId="6" state="hidden" r:id="rId13"/>
  </sheets>
  <externalReferences>
    <externalReference r:id="rId14"/>
  </externalReferences>
  <definedNames>
    <definedName name="_xlnm.Print_Area" localSheetId="1">Summary!$B$1:$L$79</definedName>
    <definedName name="rates">#REF!</definedName>
    <definedName name="size">'system size'!$A$10:$A$14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8" i="2" l="1"/>
  <c r="F58" i="2"/>
  <c r="G58" i="2"/>
  <c r="H58" i="2"/>
  <c r="I58" i="2"/>
  <c r="J58" i="2"/>
  <c r="K58" i="2"/>
  <c r="D58" i="2"/>
  <c r="G12" i="34" l="1"/>
  <c r="G11" i="34"/>
  <c r="G10" i="34"/>
  <c r="G9" i="34"/>
  <c r="G8" i="34"/>
  <c r="G7" i="34"/>
  <c r="G6" i="34"/>
  <c r="G5" i="34"/>
  <c r="G4" i="34"/>
  <c r="G3" i="34"/>
  <c r="G12" i="33"/>
  <c r="G11" i="33"/>
  <c r="G10" i="33"/>
  <c r="G9" i="33"/>
  <c r="G8" i="33"/>
  <c r="G7" i="33"/>
  <c r="G6" i="33"/>
  <c r="G5" i="33"/>
  <c r="G4" i="33"/>
  <c r="G3" i="33"/>
  <c r="G12" i="32"/>
  <c r="G11" i="32"/>
  <c r="G10" i="32"/>
  <c r="G9" i="32"/>
  <c r="G8" i="32"/>
  <c r="G7" i="32"/>
  <c r="G6" i="32"/>
  <c r="G5" i="32"/>
  <c r="G4" i="32"/>
  <c r="G3" i="32"/>
  <c r="G12" i="31"/>
  <c r="G11" i="31"/>
  <c r="G10" i="31"/>
  <c r="G9" i="31"/>
  <c r="G8" i="31"/>
  <c r="G7" i="31"/>
  <c r="G6" i="31"/>
  <c r="G5" i="31"/>
  <c r="G4" i="31"/>
  <c r="G3" i="31"/>
  <c r="G12" i="30"/>
  <c r="G11" i="30"/>
  <c r="G10" i="30"/>
  <c r="G9" i="30"/>
  <c r="G8" i="30"/>
  <c r="G7" i="30"/>
  <c r="G6" i="30"/>
  <c r="G5" i="30"/>
  <c r="G4" i="30"/>
  <c r="G3" i="30"/>
  <c r="G9" i="29"/>
  <c r="G10" i="29"/>
  <c r="G11" i="29"/>
  <c r="G12" i="29"/>
  <c r="G12" i="28"/>
  <c r="G11" i="28"/>
  <c r="G10" i="28"/>
  <c r="G9" i="28"/>
  <c r="G10" i="8"/>
  <c r="G11" i="8"/>
  <c r="G12" i="8"/>
  <c r="G9" i="8"/>
  <c r="G4" i="8"/>
  <c r="G5" i="8"/>
  <c r="G6" i="8"/>
  <c r="G7" i="8"/>
  <c r="G8" i="8"/>
  <c r="G3" i="8"/>
  <c r="C16" i="35" l="1"/>
  <c r="D16" i="35"/>
  <c r="E16" i="35"/>
  <c r="F16" i="35"/>
  <c r="G16" i="35"/>
  <c r="H16" i="35"/>
  <c r="I16" i="35"/>
  <c r="B16" i="35"/>
  <c r="F51" i="35" l="1"/>
  <c r="I2" i="35"/>
  <c r="I24" i="35" s="1"/>
  <c r="C2" i="35"/>
  <c r="C24" i="35" s="1"/>
  <c r="D2" i="35"/>
  <c r="D24" i="35" s="1"/>
  <c r="E2" i="35"/>
  <c r="E24" i="35" s="1"/>
  <c r="F2" i="35"/>
  <c r="F24" i="35" s="1"/>
  <c r="G2" i="35"/>
  <c r="G24" i="35" s="1"/>
  <c r="H2" i="35"/>
  <c r="H24" i="35" s="1"/>
  <c r="B2" i="35"/>
  <c r="B24" i="35" s="1"/>
  <c r="Z4" i="2"/>
  <c r="AD4" i="2"/>
  <c r="AF4" i="2" s="1"/>
  <c r="Z5" i="2"/>
  <c r="AD5" i="2"/>
  <c r="AF5" i="2"/>
  <c r="Y6" i="2"/>
  <c r="AD6" i="2"/>
  <c r="AF6" i="2" s="1"/>
  <c r="G50" i="2" l="1"/>
  <c r="D25" i="35" l="1"/>
  <c r="E3" i="34"/>
  <c r="AN101" i="38"/>
  <c r="AM101" i="38"/>
  <c r="AL101" i="38"/>
  <c r="AK101" i="38"/>
  <c r="AJ101" i="38"/>
  <c r="AI101" i="38"/>
  <c r="AH101" i="38"/>
  <c r="AG101" i="38"/>
  <c r="AF101" i="38"/>
  <c r="AE101" i="38"/>
  <c r="AD101" i="38"/>
  <c r="AC101" i="38"/>
  <c r="L101" i="38"/>
  <c r="M101" i="38" s="1"/>
  <c r="AN100" i="38"/>
  <c r="AM100" i="38"/>
  <c r="AL100" i="38"/>
  <c r="AK100" i="38"/>
  <c r="AJ100" i="38"/>
  <c r="AI100" i="38"/>
  <c r="AH100" i="38"/>
  <c r="AG100" i="38"/>
  <c r="AF100" i="38"/>
  <c r="AE100" i="38"/>
  <c r="AD100" i="38"/>
  <c r="AC100" i="38"/>
  <c r="M100" i="38"/>
  <c r="L100" i="38"/>
  <c r="AN99" i="38"/>
  <c r="AM99" i="38"/>
  <c r="AL99" i="38"/>
  <c r="AK99" i="38"/>
  <c r="AJ99" i="38"/>
  <c r="AI99" i="38"/>
  <c r="AH99" i="38"/>
  <c r="AG99" i="38"/>
  <c r="AF99" i="38"/>
  <c r="AE99" i="38"/>
  <c r="AD99" i="38"/>
  <c r="AC99" i="38"/>
  <c r="L99" i="38"/>
  <c r="M99" i="38" s="1"/>
  <c r="AN98" i="38"/>
  <c r="AM98" i="38"/>
  <c r="AL98" i="38"/>
  <c r="AK98" i="38"/>
  <c r="AJ98" i="38"/>
  <c r="AI98" i="38"/>
  <c r="AH98" i="38"/>
  <c r="AG98" i="38"/>
  <c r="AF98" i="38"/>
  <c r="AE98" i="38"/>
  <c r="AD98" i="38"/>
  <c r="AC98" i="38"/>
  <c r="L98" i="38"/>
  <c r="M98" i="38" s="1"/>
  <c r="AN97" i="38"/>
  <c r="AM97" i="38"/>
  <c r="AL97" i="38"/>
  <c r="AK97" i="38"/>
  <c r="AJ97" i="38"/>
  <c r="AI97" i="38"/>
  <c r="AH97" i="38"/>
  <c r="AG97" i="38"/>
  <c r="AF97" i="38"/>
  <c r="AE97" i="38"/>
  <c r="AD97" i="38"/>
  <c r="AC97" i="38"/>
  <c r="L97" i="38"/>
  <c r="M97" i="38" s="1"/>
  <c r="AN96" i="38"/>
  <c r="AM96" i="38"/>
  <c r="AL96" i="38"/>
  <c r="AK96" i="38"/>
  <c r="AJ96" i="38"/>
  <c r="AI96" i="38"/>
  <c r="AH96" i="38"/>
  <c r="AG96" i="38"/>
  <c r="AF96" i="38"/>
  <c r="AE96" i="38"/>
  <c r="AD96" i="38"/>
  <c r="AC96" i="38"/>
  <c r="L96" i="38"/>
  <c r="M96" i="38" s="1"/>
  <c r="AN95" i="38"/>
  <c r="AM95" i="38"/>
  <c r="AL95" i="38"/>
  <c r="AK95" i="38"/>
  <c r="AJ95" i="38"/>
  <c r="AI95" i="38"/>
  <c r="AH95" i="38"/>
  <c r="AG95" i="38"/>
  <c r="AF95" i="38"/>
  <c r="AE95" i="38"/>
  <c r="AD95" i="38"/>
  <c r="AC95" i="38"/>
  <c r="L95" i="38"/>
  <c r="M95" i="38" s="1"/>
  <c r="AN94" i="38"/>
  <c r="AM94" i="38"/>
  <c r="AL94" i="38"/>
  <c r="AK94" i="38"/>
  <c r="AJ94" i="38"/>
  <c r="AI94" i="38"/>
  <c r="AH94" i="38"/>
  <c r="AG94" i="38"/>
  <c r="AF94" i="38"/>
  <c r="AE94" i="38"/>
  <c r="AD94" i="38"/>
  <c r="AC94" i="38"/>
  <c r="L94" i="38"/>
  <c r="M94" i="38" s="1"/>
  <c r="AN93" i="38"/>
  <c r="AM93" i="38"/>
  <c r="AL93" i="38"/>
  <c r="AK93" i="38"/>
  <c r="AJ93" i="38"/>
  <c r="AI93" i="38"/>
  <c r="AH93" i="38"/>
  <c r="AG93" i="38"/>
  <c r="AF93" i="38"/>
  <c r="AE93" i="38"/>
  <c r="AD93" i="38"/>
  <c r="AC93" i="38"/>
  <c r="M93" i="38"/>
  <c r="L93" i="38"/>
  <c r="AN92" i="38"/>
  <c r="AM92" i="38"/>
  <c r="AL92" i="38"/>
  <c r="AK92" i="38"/>
  <c r="AJ92" i="38"/>
  <c r="AI92" i="38"/>
  <c r="AH92" i="38"/>
  <c r="AG92" i="38"/>
  <c r="AF92" i="38"/>
  <c r="AE92" i="38"/>
  <c r="AD92" i="38"/>
  <c r="AC92" i="38"/>
  <c r="L92" i="38"/>
  <c r="M92" i="38" s="1"/>
  <c r="AN91" i="38"/>
  <c r="AM91" i="38"/>
  <c r="AL91" i="38"/>
  <c r="AK91" i="38"/>
  <c r="AJ91" i="38"/>
  <c r="AI91" i="38"/>
  <c r="AH91" i="38"/>
  <c r="AG91" i="38"/>
  <c r="AF91" i="38"/>
  <c r="AE91" i="38"/>
  <c r="AD91" i="38"/>
  <c r="AC91" i="38"/>
  <c r="L91" i="38"/>
  <c r="M91" i="38" s="1"/>
  <c r="AN90" i="38"/>
  <c r="AM90" i="38"/>
  <c r="AL90" i="38"/>
  <c r="AK90" i="38"/>
  <c r="AJ90" i="38"/>
  <c r="AI90" i="38"/>
  <c r="AH90" i="38"/>
  <c r="AG90" i="38"/>
  <c r="AF90" i="38"/>
  <c r="AE90" i="38"/>
  <c r="AD90" i="38"/>
  <c r="AC90" i="38"/>
  <c r="L90" i="38"/>
  <c r="M90" i="38" s="1"/>
  <c r="AN89" i="38"/>
  <c r="AM89" i="38"/>
  <c r="AL89" i="38"/>
  <c r="AK89" i="38"/>
  <c r="AJ89" i="38"/>
  <c r="AI89" i="38"/>
  <c r="AH89" i="38"/>
  <c r="AG89" i="38"/>
  <c r="AF89" i="38"/>
  <c r="AE89" i="38"/>
  <c r="AD89" i="38"/>
  <c r="AC89" i="38"/>
  <c r="L89" i="38"/>
  <c r="M89" i="38" s="1"/>
  <c r="AN88" i="38"/>
  <c r="AM88" i="38"/>
  <c r="AL88" i="38"/>
  <c r="AK88" i="38"/>
  <c r="AJ88" i="38"/>
  <c r="AI88" i="38"/>
  <c r="AH88" i="38"/>
  <c r="AG88" i="38"/>
  <c r="AF88" i="38"/>
  <c r="AE88" i="38"/>
  <c r="AD88" i="38"/>
  <c r="AC88" i="38"/>
  <c r="L88" i="38"/>
  <c r="M88" i="38" s="1"/>
  <c r="AN87" i="38"/>
  <c r="AM87" i="38"/>
  <c r="AL87" i="38"/>
  <c r="AK87" i="38"/>
  <c r="AJ87" i="38"/>
  <c r="AI87" i="38"/>
  <c r="AH87" i="38"/>
  <c r="AG87" i="38"/>
  <c r="AF87" i="38"/>
  <c r="AE87" i="38"/>
  <c r="AD87" i="38"/>
  <c r="AC87" i="38"/>
  <c r="L87" i="38"/>
  <c r="M87" i="38" s="1"/>
  <c r="AN86" i="38"/>
  <c r="AM86" i="38"/>
  <c r="AL86" i="38"/>
  <c r="AK86" i="38"/>
  <c r="AJ86" i="38"/>
  <c r="AI86" i="38"/>
  <c r="AH86" i="38"/>
  <c r="AG86" i="38"/>
  <c r="AF86" i="38"/>
  <c r="AE86" i="38"/>
  <c r="AD86" i="38"/>
  <c r="AC86" i="38"/>
  <c r="L86" i="38"/>
  <c r="M86" i="38" s="1"/>
  <c r="AN85" i="38"/>
  <c r="AM85" i="38"/>
  <c r="AL85" i="38"/>
  <c r="AK85" i="38"/>
  <c r="AJ85" i="38"/>
  <c r="AI85" i="38"/>
  <c r="AH85" i="38"/>
  <c r="AG85" i="38"/>
  <c r="AF85" i="38"/>
  <c r="AE85" i="38"/>
  <c r="AD85" i="38"/>
  <c r="AC85" i="38"/>
  <c r="L85" i="38"/>
  <c r="M85" i="38" s="1"/>
  <c r="AN84" i="38"/>
  <c r="AM84" i="38"/>
  <c r="AL84" i="38"/>
  <c r="AK84" i="38"/>
  <c r="AJ84" i="38"/>
  <c r="AI84" i="38"/>
  <c r="AH84" i="38"/>
  <c r="AG84" i="38"/>
  <c r="AF84" i="38"/>
  <c r="AE84" i="38"/>
  <c r="AD84" i="38"/>
  <c r="AC84" i="38"/>
  <c r="L84" i="38"/>
  <c r="M84" i="38" s="1"/>
  <c r="AN83" i="38"/>
  <c r="AM83" i="38"/>
  <c r="AL83" i="38"/>
  <c r="AK83" i="38"/>
  <c r="AJ83" i="38"/>
  <c r="AI83" i="38"/>
  <c r="AH83" i="38"/>
  <c r="AG83" i="38"/>
  <c r="AF83" i="38"/>
  <c r="AE83" i="38"/>
  <c r="AD83" i="38"/>
  <c r="AC83" i="38"/>
  <c r="L83" i="38"/>
  <c r="M83" i="38" s="1"/>
  <c r="AN82" i="38"/>
  <c r="AM82" i="38"/>
  <c r="AL82" i="38"/>
  <c r="AK82" i="38"/>
  <c r="AJ82" i="38"/>
  <c r="AI82" i="38"/>
  <c r="AH82" i="38"/>
  <c r="AG82" i="38"/>
  <c r="AF82" i="38"/>
  <c r="AE82" i="38"/>
  <c r="AD82" i="38"/>
  <c r="AC82" i="38"/>
  <c r="L82" i="38"/>
  <c r="M82" i="38" s="1"/>
  <c r="AN81" i="38"/>
  <c r="AM81" i="38"/>
  <c r="AL81" i="38"/>
  <c r="AK81" i="38"/>
  <c r="AJ81" i="38"/>
  <c r="AI81" i="38"/>
  <c r="AH81" i="38"/>
  <c r="AG81" i="38"/>
  <c r="AF81" i="38"/>
  <c r="AE81" i="38"/>
  <c r="AD81" i="38"/>
  <c r="AC81" i="38"/>
  <c r="L81" i="38"/>
  <c r="M81" i="38" s="1"/>
  <c r="AN80" i="38"/>
  <c r="AM80" i="38"/>
  <c r="AL80" i="38"/>
  <c r="AK80" i="38"/>
  <c r="AJ80" i="38"/>
  <c r="AI80" i="38"/>
  <c r="AH80" i="38"/>
  <c r="AG80" i="38"/>
  <c r="AF80" i="38"/>
  <c r="AE80" i="38"/>
  <c r="AD80" i="38"/>
  <c r="AC80" i="38"/>
  <c r="L80" i="38"/>
  <c r="M80" i="38" s="1"/>
  <c r="AN79" i="38"/>
  <c r="AM79" i="38"/>
  <c r="AL79" i="38"/>
  <c r="AK79" i="38"/>
  <c r="AJ79" i="38"/>
  <c r="AI79" i="38"/>
  <c r="AH79" i="38"/>
  <c r="AG79" i="38"/>
  <c r="AF79" i="38"/>
  <c r="AE79" i="38"/>
  <c r="AD79" i="38"/>
  <c r="AC79" i="38"/>
  <c r="L79" i="38"/>
  <c r="M79" i="38" s="1"/>
  <c r="AN78" i="38"/>
  <c r="AM78" i="38"/>
  <c r="AL78" i="38"/>
  <c r="AK78" i="38"/>
  <c r="AJ78" i="38"/>
  <c r="AI78" i="38"/>
  <c r="AH78" i="38"/>
  <c r="AG78" i="38"/>
  <c r="AF78" i="38"/>
  <c r="AE78" i="38"/>
  <c r="AD78" i="38"/>
  <c r="AC78" i="38"/>
  <c r="L78" i="38"/>
  <c r="M78" i="38" s="1"/>
  <c r="AN77" i="38"/>
  <c r="AM77" i="38"/>
  <c r="AL77" i="38"/>
  <c r="AK77" i="38"/>
  <c r="AJ77" i="38"/>
  <c r="AI77" i="38"/>
  <c r="AH77" i="38"/>
  <c r="AG77" i="38"/>
  <c r="AF77" i="38"/>
  <c r="AE77" i="38"/>
  <c r="AD77" i="38"/>
  <c r="AC77" i="38"/>
  <c r="L77" i="38"/>
  <c r="M77" i="38" s="1"/>
  <c r="AN76" i="38"/>
  <c r="AM76" i="38"/>
  <c r="AL76" i="38"/>
  <c r="AK76" i="38"/>
  <c r="AJ76" i="38"/>
  <c r="AI76" i="38"/>
  <c r="AH76" i="38"/>
  <c r="AG76" i="38"/>
  <c r="AF76" i="38"/>
  <c r="AE76" i="38"/>
  <c r="AD76" i="38"/>
  <c r="AC76" i="38"/>
  <c r="L76" i="38"/>
  <c r="M76" i="38" s="1"/>
  <c r="AN75" i="38"/>
  <c r="AM75" i="38"/>
  <c r="AL75" i="38"/>
  <c r="AK75" i="38"/>
  <c r="AJ75" i="38"/>
  <c r="AI75" i="38"/>
  <c r="AH75" i="38"/>
  <c r="AG75" i="38"/>
  <c r="AF75" i="38"/>
  <c r="AE75" i="38"/>
  <c r="AD75" i="38"/>
  <c r="AC75" i="38"/>
  <c r="L75" i="38"/>
  <c r="M75" i="38" s="1"/>
  <c r="AN74" i="38"/>
  <c r="AM74" i="38"/>
  <c r="AL74" i="38"/>
  <c r="AK74" i="38"/>
  <c r="AJ74" i="38"/>
  <c r="AI74" i="38"/>
  <c r="AH74" i="38"/>
  <c r="AG74" i="38"/>
  <c r="AF74" i="38"/>
  <c r="AE74" i="38"/>
  <c r="AD74" i="38"/>
  <c r="AC74" i="38"/>
  <c r="L74" i="38"/>
  <c r="M74" i="38" s="1"/>
  <c r="AN73" i="38"/>
  <c r="AM73" i="38"/>
  <c r="AL73" i="38"/>
  <c r="AK73" i="38"/>
  <c r="AJ73" i="38"/>
  <c r="AI73" i="38"/>
  <c r="AH73" i="38"/>
  <c r="AG73" i="38"/>
  <c r="AF73" i="38"/>
  <c r="AE73" i="38"/>
  <c r="AD73" i="38"/>
  <c r="AC73" i="38"/>
  <c r="L73" i="38"/>
  <c r="M73" i="38" s="1"/>
  <c r="AN72" i="38"/>
  <c r="AM72" i="38"/>
  <c r="AL72" i="38"/>
  <c r="AK72" i="38"/>
  <c r="AJ72" i="38"/>
  <c r="AI72" i="38"/>
  <c r="AH72" i="38"/>
  <c r="AG72" i="38"/>
  <c r="AF72" i="38"/>
  <c r="AE72" i="38"/>
  <c r="AD72" i="38"/>
  <c r="AC72" i="38"/>
  <c r="L72" i="38"/>
  <c r="M72" i="38" s="1"/>
  <c r="AN71" i="38"/>
  <c r="AM71" i="38"/>
  <c r="AL71" i="38"/>
  <c r="AK71" i="38"/>
  <c r="AJ71" i="38"/>
  <c r="AI71" i="38"/>
  <c r="AH71" i="38"/>
  <c r="AG71" i="38"/>
  <c r="AF71" i="38"/>
  <c r="AE71" i="38"/>
  <c r="AD71" i="38"/>
  <c r="AC71" i="38"/>
  <c r="L71" i="38"/>
  <c r="M71" i="38" s="1"/>
  <c r="AN70" i="38"/>
  <c r="AM70" i="38"/>
  <c r="AL70" i="38"/>
  <c r="AK70" i="38"/>
  <c r="AJ70" i="38"/>
  <c r="AI70" i="38"/>
  <c r="AH70" i="38"/>
  <c r="AG70" i="38"/>
  <c r="AF70" i="38"/>
  <c r="AE70" i="38"/>
  <c r="AD70" i="38"/>
  <c r="AC70" i="38"/>
  <c r="L70" i="38"/>
  <c r="M70" i="38" s="1"/>
  <c r="AN69" i="38"/>
  <c r="AM69" i="38"/>
  <c r="AL69" i="38"/>
  <c r="AK69" i="38"/>
  <c r="AJ69" i="38"/>
  <c r="AI69" i="38"/>
  <c r="AH69" i="38"/>
  <c r="AG69" i="38"/>
  <c r="AF69" i="38"/>
  <c r="AE69" i="38"/>
  <c r="AD69" i="38"/>
  <c r="AC69" i="38"/>
  <c r="L69" i="38"/>
  <c r="M69" i="38" s="1"/>
  <c r="AN68" i="38"/>
  <c r="AM68" i="38"/>
  <c r="AL68" i="38"/>
  <c r="AK68" i="38"/>
  <c r="AJ68" i="38"/>
  <c r="AI68" i="38"/>
  <c r="AH68" i="38"/>
  <c r="AG68" i="38"/>
  <c r="AF68" i="38"/>
  <c r="AE68" i="38"/>
  <c r="AD68" i="38"/>
  <c r="AC68" i="38"/>
  <c r="L68" i="38"/>
  <c r="M68" i="38" s="1"/>
  <c r="AN67" i="38"/>
  <c r="AM67" i="38"/>
  <c r="AL67" i="38"/>
  <c r="AK67" i="38"/>
  <c r="AJ67" i="38"/>
  <c r="AI67" i="38"/>
  <c r="AH67" i="38"/>
  <c r="AG67" i="38"/>
  <c r="AF67" i="38"/>
  <c r="AE67" i="38"/>
  <c r="AD67" i="38"/>
  <c r="AC67" i="38"/>
  <c r="L67" i="38"/>
  <c r="M67" i="38" s="1"/>
  <c r="AN66" i="38"/>
  <c r="AM66" i="38"/>
  <c r="AL66" i="38"/>
  <c r="AK66" i="38"/>
  <c r="AJ66" i="38"/>
  <c r="AI66" i="38"/>
  <c r="AH66" i="38"/>
  <c r="AG66" i="38"/>
  <c r="AF66" i="38"/>
  <c r="AE66" i="38"/>
  <c r="AD66" i="38"/>
  <c r="AC66" i="38"/>
  <c r="L66" i="38"/>
  <c r="M66" i="38" s="1"/>
  <c r="AN65" i="38"/>
  <c r="AM65" i="38"/>
  <c r="AL65" i="38"/>
  <c r="AK65" i="38"/>
  <c r="AJ65" i="38"/>
  <c r="AI65" i="38"/>
  <c r="AH65" i="38"/>
  <c r="AG65" i="38"/>
  <c r="AF65" i="38"/>
  <c r="AE65" i="38"/>
  <c r="AD65" i="38"/>
  <c r="AC65" i="38"/>
  <c r="L65" i="38"/>
  <c r="M65" i="38" s="1"/>
  <c r="AN64" i="38"/>
  <c r="AM64" i="38"/>
  <c r="AL64" i="38"/>
  <c r="AK64" i="38"/>
  <c r="AJ64" i="38"/>
  <c r="AI64" i="38"/>
  <c r="AH64" i="38"/>
  <c r="AG64" i="38"/>
  <c r="AF64" i="38"/>
  <c r="AE64" i="38"/>
  <c r="AD64" i="38"/>
  <c r="AC64" i="38"/>
  <c r="L64" i="38"/>
  <c r="M64" i="38" s="1"/>
  <c r="AN63" i="38"/>
  <c r="AM63" i="38"/>
  <c r="AL63" i="38"/>
  <c r="AK63" i="38"/>
  <c r="AJ63" i="38"/>
  <c r="AI63" i="38"/>
  <c r="AH63" i="38"/>
  <c r="AG63" i="38"/>
  <c r="AF63" i="38"/>
  <c r="AE63" i="38"/>
  <c r="AD63" i="38"/>
  <c r="AC63" i="38"/>
  <c r="L63" i="38"/>
  <c r="M63" i="38" s="1"/>
  <c r="AN62" i="38"/>
  <c r="AM62" i="38"/>
  <c r="AL62" i="38"/>
  <c r="AK62" i="38"/>
  <c r="AJ62" i="38"/>
  <c r="AI62" i="38"/>
  <c r="AH62" i="38"/>
  <c r="AG62" i="38"/>
  <c r="AF62" i="38"/>
  <c r="AE62" i="38"/>
  <c r="AD62" i="38"/>
  <c r="AC62" i="38"/>
  <c r="L62" i="38"/>
  <c r="M62" i="38" s="1"/>
  <c r="AN61" i="38"/>
  <c r="AM61" i="38"/>
  <c r="AL61" i="38"/>
  <c r="AK61" i="38"/>
  <c r="AJ61" i="38"/>
  <c r="AI61" i="38"/>
  <c r="AH61" i="38"/>
  <c r="AG61" i="38"/>
  <c r="AF61" i="38"/>
  <c r="AE61" i="38"/>
  <c r="AD61" i="38"/>
  <c r="AC61" i="38"/>
  <c r="L61" i="38"/>
  <c r="M61" i="38" s="1"/>
  <c r="AN60" i="38"/>
  <c r="AM60" i="38"/>
  <c r="AL60" i="38"/>
  <c r="AK60" i="38"/>
  <c r="AJ60" i="38"/>
  <c r="AI60" i="38"/>
  <c r="AH60" i="38"/>
  <c r="AG60" i="38"/>
  <c r="AF60" i="38"/>
  <c r="AE60" i="38"/>
  <c r="AD60" i="38"/>
  <c r="AC60" i="38"/>
  <c r="L60" i="38"/>
  <c r="M60" i="38" s="1"/>
  <c r="AN59" i="38"/>
  <c r="AM59" i="38"/>
  <c r="AL59" i="38"/>
  <c r="AK59" i="38"/>
  <c r="AJ59" i="38"/>
  <c r="AI59" i="38"/>
  <c r="AH59" i="38"/>
  <c r="AG59" i="38"/>
  <c r="AF59" i="38"/>
  <c r="AE59" i="38"/>
  <c r="AD59" i="38"/>
  <c r="AC59" i="38"/>
  <c r="L59" i="38"/>
  <c r="M59" i="38" s="1"/>
  <c r="AN58" i="38"/>
  <c r="AM58" i="38"/>
  <c r="AL58" i="38"/>
  <c r="AK58" i="38"/>
  <c r="AJ58" i="38"/>
  <c r="AI58" i="38"/>
  <c r="AH58" i="38"/>
  <c r="AG58" i="38"/>
  <c r="AF58" i="38"/>
  <c r="AE58" i="38"/>
  <c r="AD58" i="38"/>
  <c r="AC58" i="38"/>
  <c r="L58" i="38"/>
  <c r="M58" i="38" s="1"/>
  <c r="AN57" i="38"/>
  <c r="AM57" i="38"/>
  <c r="AL57" i="38"/>
  <c r="AK57" i="38"/>
  <c r="AJ57" i="38"/>
  <c r="AI57" i="38"/>
  <c r="AH57" i="38"/>
  <c r="AG57" i="38"/>
  <c r="AF57" i="38"/>
  <c r="AE57" i="38"/>
  <c r="AD57" i="38"/>
  <c r="AC57" i="38"/>
  <c r="L57" i="38"/>
  <c r="M57" i="38" s="1"/>
  <c r="AN56" i="38"/>
  <c r="AM56" i="38"/>
  <c r="AL56" i="38"/>
  <c r="AK56" i="38"/>
  <c r="AJ56" i="38"/>
  <c r="AI56" i="38"/>
  <c r="AH56" i="38"/>
  <c r="AG56" i="38"/>
  <c r="AF56" i="38"/>
  <c r="AE56" i="38"/>
  <c r="AD56" i="38"/>
  <c r="AC56" i="38"/>
  <c r="L56" i="38"/>
  <c r="M56" i="38" s="1"/>
  <c r="AN55" i="38"/>
  <c r="AM55" i="38"/>
  <c r="AL55" i="38"/>
  <c r="AK55" i="38"/>
  <c r="AJ55" i="38"/>
  <c r="AI55" i="38"/>
  <c r="AH55" i="38"/>
  <c r="AG55" i="38"/>
  <c r="AF55" i="38"/>
  <c r="AE55" i="38"/>
  <c r="AD55" i="38"/>
  <c r="AC55" i="38"/>
  <c r="L55" i="38"/>
  <c r="M55" i="38" s="1"/>
  <c r="AN54" i="38"/>
  <c r="AM54" i="38"/>
  <c r="AL54" i="38"/>
  <c r="AK54" i="38"/>
  <c r="AJ54" i="38"/>
  <c r="AI54" i="38"/>
  <c r="AH54" i="38"/>
  <c r="AG54" i="38"/>
  <c r="AF54" i="38"/>
  <c r="AE54" i="38"/>
  <c r="AD54" i="38"/>
  <c r="AC54" i="38"/>
  <c r="L54" i="38"/>
  <c r="M54" i="38" s="1"/>
  <c r="AN53" i="38"/>
  <c r="AM53" i="38"/>
  <c r="AL53" i="38"/>
  <c r="AK53" i="38"/>
  <c r="AJ53" i="38"/>
  <c r="AI53" i="38"/>
  <c r="AH53" i="38"/>
  <c r="AG53" i="38"/>
  <c r="AF53" i="38"/>
  <c r="AE53" i="38"/>
  <c r="AD53" i="38"/>
  <c r="AC53" i="38"/>
  <c r="L53" i="38"/>
  <c r="M53" i="38" s="1"/>
  <c r="AN52" i="38"/>
  <c r="AM52" i="38"/>
  <c r="AL52" i="38"/>
  <c r="AK52" i="38"/>
  <c r="AJ52" i="38"/>
  <c r="AI52" i="38"/>
  <c r="AH52" i="38"/>
  <c r="AG52" i="38"/>
  <c r="AF52" i="38"/>
  <c r="AE52" i="38"/>
  <c r="AD52" i="38"/>
  <c r="AC52" i="38"/>
  <c r="L52" i="38"/>
  <c r="M52" i="38" s="1"/>
  <c r="AN51" i="38"/>
  <c r="AM51" i="38"/>
  <c r="AL51" i="38"/>
  <c r="AK51" i="38"/>
  <c r="AJ51" i="38"/>
  <c r="AI51" i="38"/>
  <c r="AH51" i="38"/>
  <c r="AG51" i="38"/>
  <c r="AF51" i="38"/>
  <c r="AE51" i="38"/>
  <c r="AD51" i="38"/>
  <c r="AC51" i="38"/>
  <c r="L51" i="38"/>
  <c r="M51" i="38" s="1"/>
  <c r="AN50" i="38"/>
  <c r="AM50" i="38"/>
  <c r="AL50" i="38"/>
  <c r="AK50" i="38"/>
  <c r="AJ50" i="38"/>
  <c r="AI50" i="38"/>
  <c r="AH50" i="38"/>
  <c r="AG50" i="38"/>
  <c r="AF50" i="38"/>
  <c r="AE50" i="38"/>
  <c r="AD50" i="38"/>
  <c r="AC50" i="38"/>
  <c r="L50" i="38"/>
  <c r="M50" i="38" s="1"/>
  <c r="AN49" i="38"/>
  <c r="AM49" i="38"/>
  <c r="AL49" i="38"/>
  <c r="AK49" i="38"/>
  <c r="AJ49" i="38"/>
  <c r="AI49" i="38"/>
  <c r="AH49" i="38"/>
  <c r="AG49" i="38"/>
  <c r="AF49" i="38"/>
  <c r="AE49" i="38"/>
  <c r="AD49" i="38"/>
  <c r="AC49" i="38"/>
  <c r="L49" i="38"/>
  <c r="M49" i="38" s="1"/>
  <c r="AN48" i="38"/>
  <c r="AM48" i="38"/>
  <c r="AL48" i="38"/>
  <c r="AK48" i="38"/>
  <c r="AJ48" i="38"/>
  <c r="AI48" i="38"/>
  <c r="AH48" i="38"/>
  <c r="AG48" i="38"/>
  <c r="AF48" i="38"/>
  <c r="AE48" i="38"/>
  <c r="AD48" i="38"/>
  <c r="AC48" i="38"/>
  <c r="L48" i="38"/>
  <c r="M48" i="38" s="1"/>
  <c r="AN47" i="38"/>
  <c r="AM47" i="38"/>
  <c r="AL47" i="38"/>
  <c r="AK47" i="38"/>
  <c r="AJ47" i="38"/>
  <c r="AI47" i="38"/>
  <c r="AH47" i="38"/>
  <c r="AG47" i="38"/>
  <c r="AF47" i="38"/>
  <c r="AE47" i="38"/>
  <c r="AD47" i="38"/>
  <c r="AC47" i="38"/>
  <c r="L47" i="38"/>
  <c r="M47" i="38" s="1"/>
  <c r="AN46" i="38"/>
  <c r="AM46" i="38"/>
  <c r="AL46" i="38"/>
  <c r="AK46" i="38"/>
  <c r="AJ46" i="38"/>
  <c r="AI46" i="38"/>
  <c r="AH46" i="38"/>
  <c r="AG46" i="38"/>
  <c r="AF46" i="38"/>
  <c r="AE46" i="38"/>
  <c r="AD46" i="38"/>
  <c r="AC46" i="38"/>
  <c r="L46" i="38"/>
  <c r="M46" i="38" s="1"/>
  <c r="AN45" i="38"/>
  <c r="AM45" i="38"/>
  <c r="AL45" i="38"/>
  <c r="AK45" i="38"/>
  <c r="AJ45" i="38"/>
  <c r="AI45" i="38"/>
  <c r="AH45" i="38"/>
  <c r="AG45" i="38"/>
  <c r="AF45" i="38"/>
  <c r="AE45" i="38"/>
  <c r="AD45" i="38"/>
  <c r="AC45" i="38"/>
  <c r="L45" i="38"/>
  <c r="M45" i="38" s="1"/>
  <c r="AN44" i="38"/>
  <c r="AM44" i="38"/>
  <c r="AL44" i="38"/>
  <c r="AK44" i="38"/>
  <c r="AJ44" i="38"/>
  <c r="AI44" i="38"/>
  <c r="AH44" i="38"/>
  <c r="AG44" i="38"/>
  <c r="AF44" i="38"/>
  <c r="AE44" i="38"/>
  <c r="AD44" i="38"/>
  <c r="AC44" i="38"/>
  <c r="L44" i="38"/>
  <c r="M44" i="38" s="1"/>
  <c r="AN43" i="38"/>
  <c r="AM43" i="38"/>
  <c r="AL43" i="38"/>
  <c r="AK43" i="38"/>
  <c r="AJ43" i="38"/>
  <c r="AI43" i="38"/>
  <c r="AH43" i="38"/>
  <c r="AG43" i="38"/>
  <c r="AF43" i="38"/>
  <c r="AE43" i="38"/>
  <c r="AD43" i="38"/>
  <c r="AC43" i="38"/>
  <c r="L43" i="38"/>
  <c r="M43" i="38" s="1"/>
  <c r="AN42" i="38"/>
  <c r="AM42" i="38"/>
  <c r="AL42" i="38"/>
  <c r="AK42" i="38"/>
  <c r="AJ42" i="38"/>
  <c r="AI42" i="38"/>
  <c r="AH42" i="38"/>
  <c r="AG42" i="38"/>
  <c r="AF42" i="38"/>
  <c r="AE42" i="38"/>
  <c r="AD42" i="38"/>
  <c r="AC42" i="38"/>
  <c r="L42" i="38"/>
  <c r="M42" i="38" s="1"/>
  <c r="AN41" i="38"/>
  <c r="AM41" i="38"/>
  <c r="AL41" i="38"/>
  <c r="AK41" i="38"/>
  <c r="AJ41" i="38"/>
  <c r="AI41" i="38"/>
  <c r="AH41" i="38"/>
  <c r="AG41" i="38"/>
  <c r="AF41" i="38"/>
  <c r="AE41" i="38"/>
  <c r="AD41" i="38"/>
  <c r="AC41" i="38"/>
  <c r="L41" i="38"/>
  <c r="M41" i="38" s="1"/>
  <c r="AN40" i="38"/>
  <c r="AM40" i="38"/>
  <c r="AL40" i="38"/>
  <c r="AK40" i="38"/>
  <c r="AJ40" i="38"/>
  <c r="AI40" i="38"/>
  <c r="AH40" i="38"/>
  <c r="AG40" i="38"/>
  <c r="AF40" i="38"/>
  <c r="AE40" i="38"/>
  <c r="AD40" i="38"/>
  <c r="AC40" i="38"/>
  <c r="L40" i="38"/>
  <c r="M40" i="38" s="1"/>
  <c r="AN39" i="38"/>
  <c r="AM39" i="38"/>
  <c r="AL39" i="38"/>
  <c r="AK39" i="38"/>
  <c r="AJ39" i="38"/>
  <c r="AI39" i="38"/>
  <c r="AH39" i="38"/>
  <c r="AG39" i="38"/>
  <c r="AF39" i="38"/>
  <c r="AE39" i="38"/>
  <c r="AD39" i="38"/>
  <c r="AC39" i="38"/>
  <c r="L39" i="38"/>
  <c r="M39" i="38" s="1"/>
  <c r="AN38" i="38"/>
  <c r="AM38" i="38"/>
  <c r="AL38" i="38"/>
  <c r="AK38" i="38"/>
  <c r="AJ38" i="38"/>
  <c r="AI38" i="38"/>
  <c r="AH38" i="38"/>
  <c r="AG38" i="38"/>
  <c r="AF38" i="38"/>
  <c r="AE38" i="38"/>
  <c r="AD38" i="38"/>
  <c r="AC38" i="38"/>
  <c r="M38" i="38"/>
  <c r="L38" i="38"/>
  <c r="AN37" i="38"/>
  <c r="AM37" i="38"/>
  <c r="AL37" i="38"/>
  <c r="AK37" i="38"/>
  <c r="AJ37" i="38"/>
  <c r="AI37" i="38"/>
  <c r="AH37" i="38"/>
  <c r="AG37" i="38"/>
  <c r="AF37" i="38"/>
  <c r="AE37" i="38"/>
  <c r="AD37" i="38"/>
  <c r="AC37" i="38"/>
  <c r="L37" i="38"/>
  <c r="M37" i="38" s="1"/>
  <c r="AN36" i="38"/>
  <c r="AM36" i="38"/>
  <c r="AL36" i="38"/>
  <c r="AK36" i="38"/>
  <c r="AJ36" i="38"/>
  <c r="AI36" i="38"/>
  <c r="AH36" i="38"/>
  <c r="AG36" i="38"/>
  <c r="AF36" i="38"/>
  <c r="AE36" i="38"/>
  <c r="AD36" i="38"/>
  <c r="AC36" i="38"/>
  <c r="L36" i="38"/>
  <c r="M36" i="38" s="1"/>
  <c r="AN35" i="38"/>
  <c r="AM35" i="38"/>
  <c r="AL35" i="38"/>
  <c r="AK35" i="38"/>
  <c r="AJ35" i="38"/>
  <c r="AI35" i="38"/>
  <c r="AH35" i="38"/>
  <c r="AG35" i="38"/>
  <c r="AF35" i="38"/>
  <c r="AE35" i="38"/>
  <c r="AD35" i="38"/>
  <c r="AC35" i="38"/>
  <c r="L35" i="38"/>
  <c r="M35" i="38" s="1"/>
  <c r="AN34" i="38"/>
  <c r="AM34" i="38"/>
  <c r="AL34" i="38"/>
  <c r="AK34" i="38"/>
  <c r="AJ34" i="38"/>
  <c r="AI34" i="38"/>
  <c r="AH34" i="38"/>
  <c r="AG34" i="38"/>
  <c r="AF34" i="38"/>
  <c r="AE34" i="38"/>
  <c r="AD34" i="38"/>
  <c r="AC34" i="38"/>
  <c r="L34" i="38"/>
  <c r="M34" i="38" s="1"/>
  <c r="AN33" i="38"/>
  <c r="AM33" i="38"/>
  <c r="AL33" i="38"/>
  <c r="AK33" i="38"/>
  <c r="AJ33" i="38"/>
  <c r="AI33" i="38"/>
  <c r="AH33" i="38"/>
  <c r="AG33" i="38"/>
  <c r="AF33" i="38"/>
  <c r="AE33" i="38"/>
  <c r="AD33" i="38"/>
  <c r="AC33" i="38"/>
  <c r="L33" i="38"/>
  <c r="M33" i="38" s="1"/>
  <c r="AN32" i="38"/>
  <c r="AM32" i="38"/>
  <c r="AL32" i="38"/>
  <c r="AK32" i="38"/>
  <c r="AJ32" i="38"/>
  <c r="AI32" i="38"/>
  <c r="AH32" i="38"/>
  <c r="AG32" i="38"/>
  <c r="AF32" i="38"/>
  <c r="AE32" i="38"/>
  <c r="AD32" i="38"/>
  <c r="AC32" i="38"/>
  <c r="L32" i="38"/>
  <c r="M32" i="38" s="1"/>
  <c r="AN31" i="38"/>
  <c r="AM31" i="38"/>
  <c r="AL31" i="38"/>
  <c r="AK31" i="38"/>
  <c r="AJ31" i="38"/>
  <c r="AI31" i="38"/>
  <c r="AH31" i="38"/>
  <c r="AG31" i="38"/>
  <c r="AF31" i="38"/>
  <c r="AE31" i="38"/>
  <c r="AD31" i="38"/>
  <c r="AC31" i="38"/>
  <c r="L31" i="38"/>
  <c r="M31" i="38" s="1"/>
  <c r="AN30" i="38"/>
  <c r="AM30" i="38"/>
  <c r="AL30" i="38"/>
  <c r="AK30" i="38"/>
  <c r="AJ30" i="38"/>
  <c r="AI30" i="38"/>
  <c r="AH30" i="38"/>
  <c r="AG30" i="38"/>
  <c r="AF30" i="38"/>
  <c r="AE30" i="38"/>
  <c r="AD30" i="38"/>
  <c r="AC30" i="38"/>
  <c r="L30" i="38"/>
  <c r="M30" i="38" s="1"/>
  <c r="AN29" i="38"/>
  <c r="AM29" i="38"/>
  <c r="AL29" i="38"/>
  <c r="AK29" i="38"/>
  <c r="AJ29" i="38"/>
  <c r="AI29" i="38"/>
  <c r="AH29" i="38"/>
  <c r="AG29" i="38"/>
  <c r="AF29" i="38"/>
  <c r="AE29" i="38"/>
  <c r="AD29" i="38"/>
  <c r="AC29" i="38"/>
  <c r="L29" i="38"/>
  <c r="M29" i="38" s="1"/>
  <c r="AN28" i="38"/>
  <c r="AM28" i="38"/>
  <c r="AL28" i="38"/>
  <c r="AK28" i="38"/>
  <c r="AJ28" i="38"/>
  <c r="AI28" i="38"/>
  <c r="AH28" i="38"/>
  <c r="AG28" i="38"/>
  <c r="AF28" i="38"/>
  <c r="AE28" i="38"/>
  <c r="AD28" i="38"/>
  <c r="AC28" i="38"/>
  <c r="L28" i="38"/>
  <c r="M28" i="38" s="1"/>
  <c r="AN27" i="38"/>
  <c r="AM27" i="38"/>
  <c r="AL27" i="38"/>
  <c r="AK27" i="38"/>
  <c r="AJ27" i="38"/>
  <c r="AI27" i="38"/>
  <c r="AH27" i="38"/>
  <c r="AG27" i="38"/>
  <c r="AF27" i="38"/>
  <c r="AE27" i="38"/>
  <c r="AD27" i="38"/>
  <c r="AC27" i="38"/>
  <c r="L27" i="38"/>
  <c r="M27" i="38" s="1"/>
  <c r="AN26" i="38"/>
  <c r="AM26" i="38"/>
  <c r="AL26" i="38"/>
  <c r="AK26" i="38"/>
  <c r="AJ26" i="38"/>
  <c r="AI26" i="38"/>
  <c r="AH26" i="38"/>
  <c r="AG26" i="38"/>
  <c r="AF26" i="38"/>
  <c r="AE26" i="38"/>
  <c r="AD26" i="38"/>
  <c r="AC26" i="38"/>
  <c r="L26" i="38"/>
  <c r="M26" i="38" s="1"/>
  <c r="AN25" i="38"/>
  <c r="AM25" i="38"/>
  <c r="AL25" i="38"/>
  <c r="AK25" i="38"/>
  <c r="AJ25" i="38"/>
  <c r="AI25" i="38"/>
  <c r="AH25" i="38"/>
  <c r="AG25" i="38"/>
  <c r="AF25" i="38"/>
  <c r="AE25" i="38"/>
  <c r="AD25" i="38"/>
  <c r="AC25" i="38"/>
  <c r="L25" i="38"/>
  <c r="M25" i="38" s="1"/>
  <c r="AN24" i="38"/>
  <c r="AM24" i="38"/>
  <c r="AL24" i="38"/>
  <c r="AK24" i="38"/>
  <c r="AJ24" i="38"/>
  <c r="AI24" i="38"/>
  <c r="AH24" i="38"/>
  <c r="AG24" i="38"/>
  <c r="AF24" i="38"/>
  <c r="AE24" i="38"/>
  <c r="AD24" i="38"/>
  <c r="AC24" i="38"/>
  <c r="L24" i="38"/>
  <c r="M24" i="38" s="1"/>
  <c r="AN23" i="38"/>
  <c r="AM23" i="38"/>
  <c r="AL23" i="38"/>
  <c r="AK23" i="38"/>
  <c r="AJ23" i="38"/>
  <c r="AI23" i="38"/>
  <c r="AH23" i="38"/>
  <c r="AG23" i="38"/>
  <c r="AF23" i="38"/>
  <c r="AE23" i="38"/>
  <c r="AD23" i="38"/>
  <c r="AC23" i="38"/>
  <c r="L23" i="38"/>
  <c r="M23" i="38" s="1"/>
  <c r="AN22" i="38"/>
  <c r="AM22" i="38"/>
  <c r="AL22" i="38"/>
  <c r="AK22" i="38"/>
  <c r="AJ22" i="38"/>
  <c r="AI22" i="38"/>
  <c r="AH22" i="38"/>
  <c r="AG22" i="38"/>
  <c r="AF22" i="38"/>
  <c r="AE22" i="38"/>
  <c r="AD22" i="38"/>
  <c r="AC22" i="38"/>
  <c r="L22" i="38"/>
  <c r="M22" i="38" s="1"/>
  <c r="AN21" i="38"/>
  <c r="AM21" i="38"/>
  <c r="AL21" i="38"/>
  <c r="AK21" i="38"/>
  <c r="AJ21" i="38"/>
  <c r="AI21" i="38"/>
  <c r="AH21" i="38"/>
  <c r="AG21" i="38"/>
  <c r="AF21" i="38"/>
  <c r="AE21" i="38"/>
  <c r="AD21" i="38"/>
  <c r="AC21" i="38"/>
  <c r="L21" i="38"/>
  <c r="M21" i="38" s="1"/>
  <c r="AN20" i="38"/>
  <c r="AM20" i="38"/>
  <c r="AL20" i="38"/>
  <c r="AK20" i="38"/>
  <c r="AJ20" i="38"/>
  <c r="AI20" i="38"/>
  <c r="AH20" i="38"/>
  <c r="AG20" i="38"/>
  <c r="AF20" i="38"/>
  <c r="AE20" i="38"/>
  <c r="AD20" i="38"/>
  <c r="AC20" i="38"/>
  <c r="L20" i="38"/>
  <c r="M20" i="38" s="1"/>
  <c r="AN19" i="38"/>
  <c r="AM19" i="38"/>
  <c r="AL19" i="38"/>
  <c r="AK19" i="38"/>
  <c r="AJ19" i="38"/>
  <c r="AI19" i="38"/>
  <c r="AH19" i="38"/>
  <c r="AG19" i="38"/>
  <c r="AF19" i="38"/>
  <c r="AE19" i="38"/>
  <c r="AD19" i="38"/>
  <c r="AC19" i="38"/>
  <c r="L19" i="38"/>
  <c r="M19" i="38" s="1"/>
  <c r="AN18" i="38"/>
  <c r="AM18" i="38"/>
  <c r="AL18" i="38"/>
  <c r="AK18" i="38"/>
  <c r="AJ18" i="38"/>
  <c r="AI18" i="38"/>
  <c r="AH18" i="38"/>
  <c r="AG18" i="38"/>
  <c r="AF18" i="38"/>
  <c r="AE18" i="38"/>
  <c r="AD18" i="38"/>
  <c r="AC18" i="38"/>
  <c r="L18" i="38"/>
  <c r="M18" i="38" s="1"/>
  <c r="AN17" i="38"/>
  <c r="AM17" i="38"/>
  <c r="AL17" i="38"/>
  <c r="AK17" i="38"/>
  <c r="AJ17" i="38"/>
  <c r="AI17" i="38"/>
  <c r="AH17" i="38"/>
  <c r="AG17" i="38"/>
  <c r="AF17" i="38"/>
  <c r="AE17" i="38"/>
  <c r="AD17" i="38"/>
  <c r="AC17" i="38"/>
  <c r="L17" i="38"/>
  <c r="M17" i="38" s="1"/>
  <c r="AN16" i="38"/>
  <c r="AM16" i="38"/>
  <c r="AL16" i="38"/>
  <c r="AK16" i="38"/>
  <c r="AJ16" i="38"/>
  <c r="AI16" i="38"/>
  <c r="AH16" i="38"/>
  <c r="AG16" i="38"/>
  <c r="AF16" i="38"/>
  <c r="AE16" i="38"/>
  <c r="AD16" i="38"/>
  <c r="AC16" i="38"/>
  <c r="L16" i="38"/>
  <c r="M16" i="38" s="1"/>
  <c r="AN15" i="38"/>
  <c r="AM15" i="38"/>
  <c r="AL15" i="38"/>
  <c r="AK15" i="38"/>
  <c r="AJ15" i="38"/>
  <c r="AI15" i="38"/>
  <c r="AH15" i="38"/>
  <c r="AG15" i="38"/>
  <c r="AF15" i="38"/>
  <c r="AE15" i="38"/>
  <c r="AD15" i="38"/>
  <c r="AC15" i="38"/>
  <c r="L15" i="38"/>
  <c r="M15" i="38" s="1"/>
  <c r="AN14" i="38"/>
  <c r="AM14" i="38"/>
  <c r="AL14" i="38"/>
  <c r="AK14" i="38"/>
  <c r="AJ14" i="38"/>
  <c r="AI14" i="38"/>
  <c r="AH14" i="38"/>
  <c r="AG14" i="38"/>
  <c r="AF14" i="38"/>
  <c r="AE14" i="38"/>
  <c r="AD14" i="38"/>
  <c r="AC14" i="38"/>
  <c r="L14" i="38"/>
  <c r="M14" i="38" s="1"/>
  <c r="AN13" i="38"/>
  <c r="AM13" i="38"/>
  <c r="AL13" i="38"/>
  <c r="AK13" i="38"/>
  <c r="AJ13" i="38"/>
  <c r="AI13" i="38"/>
  <c r="AH13" i="38"/>
  <c r="AG13" i="38"/>
  <c r="AF13" i="38"/>
  <c r="AE13" i="38"/>
  <c r="AD13" i="38"/>
  <c r="AC13" i="38"/>
  <c r="L13" i="38"/>
  <c r="M13" i="38" s="1"/>
  <c r="AN12" i="38"/>
  <c r="AM12" i="38"/>
  <c r="AL12" i="38"/>
  <c r="AK12" i="38"/>
  <c r="AJ12" i="38"/>
  <c r="AI12" i="38"/>
  <c r="AH12" i="38"/>
  <c r="AG12" i="38"/>
  <c r="AF12" i="38"/>
  <c r="AE12" i="38"/>
  <c r="AD12" i="38"/>
  <c r="AC12" i="38"/>
  <c r="L12" i="38"/>
  <c r="M12" i="38" s="1"/>
  <c r="AN11" i="38"/>
  <c r="AM11" i="38"/>
  <c r="AL11" i="38"/>
  <c r="AK11" i="38"/>
  <c r="AJ11" i="38"/>
  <c r="AI11" i="38"/>
  <c r="AH11" i="38"/>
  <c r="AG11" i="38"/>
  <c r="AF11" i="38"/>
  <c r="AE11" i="38"/>
  <c r="AD11" i="38"/>
  <c r="AC11" i="38"/>
  <c r="L11" i="38"/>
  <c r="M11" i="38" s="1"/>
  <c r="AN10" i="38"/>
  <c r="AM10" i="38"/>
  <c r="AL10" i="38"/>
  <c r="AK10" i="38"/>
  <c r="AJ10" i="38"/>
  <c r="AI10" i="38"/>
  <c r="AH10" i="38"/>
  <c r="AG10" i="38"/>
  <c r="AF10" i="38"/>
  <c r="AE10" i="38"/>
  <c r="AD10" i="38"/>
  <c r="AC10" i="38"/>
  <c r="L10" i="38"/>
  <c r="M10" i="38" s="1"/>
  <c r="AN9" i="38"/>
  <c r="AM9" i="38"/>
  <c r="AL9" i="38"/>
  <c r="AK9" i="38"/>
  <c r="AJ9" i="38"/>
  <c r="AI9" i="38"/>
  <c r="AH9" i="38"/>
  <c r="AG9" i="38"/>
  <c r="AF9" i="38"/>
  <c r="AE9" i="38"/>
  <c r="AD9" i="38"/>
  <c r="AC9" i="38"/>
  <c r="L9" i="38"/>
  <c r="M9" i="38" s="1"/>
  <c r="AN8" i="38"/>
  <c r="AM8" i="38"/>
  <c r="AL8" i="38"/>
  <c r="AK8" i="38"/>
  <c r="AJ8" i="38"/>
  <c r="AI8" i="38"/>
  <c r="AH8" i="38"/>
  <c r="AG8" i="38"/>
  <c r="AF8" i="38"/>
  <c r="AE8" i="38"/>
  <c r="AD8" i="38"/>
  <c r="AC8" i="38"/>
  <c r="L8" i="38"/>
  <c r="M8" i="38" s="1"/>
  <c r="AN7" i="38"/>
  <c r="AM7" i="38"/>
  <c r="AL7" i="38"/>
  <c r="AK7" i="38"/>
  <c r="AJ7" i="38"/>
  <c r="AI7" i="38"/>
  <c r="AH7" i="38"/>
  <c r="AG7" i="38"/>
  <c r="AF7" i="38"/>
  <c r="AE7" i="38"/>
  <c r="AD7" i="38"/>
  <c r="AC7" i="38"/>
  <c r="L7" i="38"/>
  <c r="M7" i="38" s="1"/>
  <c r="AN6" i="38"/>
  <c r="AM6" i="38"/>
  <c r="AL6" i="38"/>
  <c r="AK6" i="38"/>
  <c r="AJ6" i="38"/>
  <c r="AI6" i="38"/>
  <c r="AH6" i="38"/>
  <c r="AG6" i="38"/>
  <c r="AF6" i="38"/>
  <c r="AE6" i="38"/>
  <c r="AD6" i="38"/>
  <c r="AC6" i="38"/>
  <c r="L6" i="38"/>
  <c r="M6" i="38" s="1"/>
  <c r="AN5" i="38"/>
  <c r="AM5" i="38"/>
  <c r="AL5" i="38"/>
  <c r="AK5" i="38"/>
  <c r="AJ5" i="38"/>
  <c r="AI5" i="38"/>
  <c r="AH5" i="38"/>
  <c r="AG5" i="38"/>
  <c r="AF5" i="38"/>
  <c r="AE5" i="38"/>
  <c r="AD5" i="38"/>
  <c r="AC5" i="38"/>
  <c r="L5" i="38"/>
  <c r="M5" i="38" s="1"/>
  <c r="AN4" i="38"/>
  <c r="AM4" i="38"/>
  <c r="AL4" i="38"/>
  <c r="AK4" i="38"/>
  <c r="AJ4" i="38"/>
  <c r="AI4" i="38"/>
  <c r="AH4" i="38"/>
  <c r="AG4" i="38"/>
  <c r="AF4" i="38"/>
  <c r="AE4" i="38"/>
  <c r="AD4" i="38"/>
  <c r="AC4" i="38"/>
  <c r="L4" i="38"/>
  <c r="M4" i="38" s="1"/>
  <c r="AN3" i="38"/>
  <c r="AM3" i="38"/>
  <c r="AL3" i="38"/>
  <c r="AK3" i="38"/>
  <c r="AJ3" i="38"/>
  <c r="AI3" i="38"/>
  <c r="AH3" i="38"/>
  <c r="AG3" i="38"/>
  <c r="AF3" i="38"/>
  <c r="AE3" i="38"/>
  <c r="AD3" i="38"/>
  <c r="AC3" i="38"/>
  <c r="L3" i="38"/>
  <c r="M3" i="38" s="1"/>
  <c r="AN2" i="38"/>
  <c r="AM2" i="38"/>
  <c r="AL2" i="38"/>
  <c r="AK2" i="38"/>
  <c r="AJ2" i="38"/>
  <c r="AI2" i="38"/>
  <c r="AH2" i="38"/>
  <c r="AG2" i="38"/>
  <c r="AF2" i="38"/>
  <c r="AE2" i="38"/>
  <c r="AD2" i="38"/>
  <c r="AC2" i="38"/>
  <c r="L2" i="38"/>
  <c r="M2" i="38" s="1"/>
  <c r="C51" i="35"/>
  <c r="D51" i="35"/>
  <c r="E51" i="35"/>
  <c r="G51" i="35"/>
  <c r="H51" i="35"/>
  <c r="I51" i="35"/>
  <c r="B51" i="35"/>
  <c r="N4" i="35"/>
  <c r="O4" i="35"/>
  <c r="P4" i="35"/>
  <c r="Q4" i="35"/>
  <c r="R4" i="35"/>
  <c r="S4" i="35"/>
  <c r="T4" i="35"/>
  <c r="N5" i="35"/>
  <c r="O5" i="35"/>
  <c r="P5" i="35"/>
  <c r="Q5" i="35"/>
  <c r="R5" i="35"/>
  <c r="S5" i="35"/>
  <c r="T5" i="35"/>
  <c r="N6" i="35"/>
  <c r="O6" i="35"/>
  <c r="P6" i="35"/>
  <c r="Q6" i="35"/>
  <c r="R6" i="35"/>
  <c r="S6" i="35"/>
  <c r="T6" i="35"/>
  <c r="N7" i="35"/>
  <c r="O7" i="35"/>
  <c r="P7" i="35"/>
  <c r="Q7" i="35"/>
  <c r="R7" i="35"/>
  <c r="S7" i="35"/>
  <c r="T7" i="35"/>
  <c r="N8" i="35"/>
  <c r="O8" i="35"/>
  <c r="P8" i="35"/>
  <c r="Q8" i="35"/>
  <c r="R8" i="35"/>
  <c r="S8" i="35"/>
  <c r="T8" i="35"/>
  <c r="N9" i="35"/>
  <c r="O9" i="35"/>
  <c r="P9" i="35"/>
  <c r="Q9" i="35"/>
  <c r="R9" i="35"/>
  <c r="S9" i="35"/>
  <c r="T9" i="35"/>
  <c r="N10" i="35"/>
  <c r="O10" i="35"/>
  <c r="P10" i="35"/>
  <c r="Q10" i="35"/>
  <c r="R10" i="35"/>
  <c r="S10" i="35"/>
  <c r="T10" i="35"/>
  <c r="N11" i="35"/>
  <c r="O11" i="35"/>
  <c r="P11" i="35"/>
  <c r="Q11" i="35"/>
  <c r="R11" i="35"/>
  <c r="S11" i="35"/>
  <c r="T11" i="35"/>
  <c r="N12" i="35"/>
  <c r="O12" i="35"/>
  <c r="P12" i="35"/>
  <c r="Q12" i="35"/>
  <c r="R12" i="35"/>
  <c r="S12" i="35"/>
  <c r="T12" i="35"/>
  <c r="N13" i="35"/>
  <c r="O13" i="35"/>
  <c r="P13" i="35"/>
  <c r="Q13" i="35"/>
  <c r="R13" i="35"/>
  <c r="S13" i="35"/>
  <c r="T13" i="35"/>
  <c r="N14" i="35"/>
  <c r="O14" i="35"/>
  <c r="P14" i="35"/>
  <c r="Q14" i="35"/>
  <c r="R14" i="35"/>
  <c r="S14" i="35"/>
  <c r="T14" i="35"/>
  <c r="N15" i="35"/>
  <c r="O15" i="35"/>
  <c r="P15" i="35"/>
  <c r="Q15" i="35"/>
  <c r="R15" i="35"/>
  <c r="S15" i="35"/>
  <c r="T15" i="35"/>
  <c r="M5" i="35"/>
  <c r="M6" i="35"/>
  <c r="M7" i="35"/>
  <c r="M8" i="35"/>
  <c r="M9" i="35"/>
  <c r="M10" i="35"/>
  <c r="M11" i="35"/>
  <c r="M12" i="35"/>
  <c r="M13" i="35"/>
  <c r="M14" i="35"/>
  <c r="M15" i="35"/>
  <c r="M4" i="35"/>
  <c r="E26" i="35"/>
  <c r="F26" i="35"/>
  <c r="G25" i="35"/>
  <c r="H25" i="35"/>
  <c r="I26" i="35"/>
  <c r="C28" i="35"/>
  <c r="B36" i="35"/>
  <c r="B50" i="35" s="1"/>
  <c r="F40" i="35" l="1"/>
  <c r="B53" i="35"/>
  <c r="I40" i="35"/>
  <c r="E40" i="35"/>
  <c r="F53" i="35"/>
  <c r="D53" i="35"/>
  <c r="G53" i="35"/>
  <c r="C53" i="35"/>
  <c r="I53" i="35"/>
  <c r="E53" i="35"/>
  <c r="G39" i="35"/>
  <c r="E3" i="30"/>
  <c r="E3" i="29"/>
  <c r="E3" i="33"/>
  <c r="E3" i="32"/>
  <c r="E3" i="28"/>
  <c r="E3" i="31"/>
  <c r="E3" i="8"/>
  <c r="E4" i="8" s="1"/>
  <c r="H39" i="35"/>
  <c r="D39" i="35"/>
  <c r="C42" i="35"/>
  <c r="I35" i="35"/>
  <c r="I49" i="35" s="1"/>
  <c r="E31" i="35"/>
  <c r="E45" i="35" s="1"/>
  <c r="E25" i="35"/>
  <c r="E39" i="35" s="1"/>
  <c r="I33" i="35"/>
  <c r="I47" i="35" s="1"/>
  <c r="E29" i="35"/>
  <c r="E43" i="35" s="1"/>
  <c r="E33" i="35"/>
  <c r="E47" i="35" s="1"/>
  <c r="I27" i="35"/>
  <c r="I41" i="35" s="1"/>
  <c r="G36" i="35"/>
  <c r="G50" i="35" s="1"/>
  <c r="I31" i="35"/>
  <c r="I45" i="35" s="1"/>
  <c r="I25" i="35"/>
  <c r="I39" i="35" s="1"/>
  <c r="C26" i="35"/>
  <c r="C40" i="35" s="1"/>
  <c r="G34" i="35"/>
  <c r="G48" i="35" s="1"/>
  <c r="G26" i="35"/>
  <c r="G40" i="35" s="1"/>
  <c r="G28" i="35"/>
  <c r="G42" i="35" s="1"/>
  <c r="C34" i="35"/>
  <c r="C48" i="35" s="1"/>
  <c r="G30" i="35"/>
  <c r="G44" i="35" s="1"/>
  <c r="C30" i="35"/>
  <c r="C44" i="35" s="1"/>
  <c r="E35" i="35"/>
  <c r="E49" i="35" s="1"/>
  <c r="G32" i="35"/>
  <c r="G46" i="35" s="1"/>
  <c r="I29" i="35"/>
  <c r="I43" i="35" s="1"/>
  <c r="E27" i="35"/>
  <c r="E41" i="35" s="1"/>
  <c r="C35" i="35"/>
  <c r="C49" i="35" s="1"/>
  <c r="C31" i="35"/>
  <c r="C45" i="35" s="1"/>
  <c r="C27" i="35"/>
  <c r="C41" i="35" s="1"/>
  <c r="H36" i="35"/>
  <c r="H50" i="35" s="1"/>
  <c r="D36" i="35"/>
  <c r="D50" i="35" s="1"/>
  <c r="F35" i="35"/>
  <c r="F49" i="35" s="1"/>
  <c r="H34" i="35"/>
  <c r="H48" i="35" s="1"/>
  <c r="D34" i="35"/>
  <c r="D48" i="35" s="1"/>
  <c r="F33" i="35"/>
  <c r="F47" i="35" s="1"/>
  <c r="H32" i="35"/>
  <c r="H46" i="35" s="1"/>
  <c r="D32" i="35"/>
  <c r="D46" i="35" s="1"/>
  <c r="F31" i="35"/>
  <c r="F45" i="35" s="1"/>
  <c r="H30" i="35"/>
  <c r="H44" i="35" s="1"/>
  <c r="D30" i="35"/>
  <c r="D44" i="35" s="1"/>
  <c r="F29" i="35"/>
  <c r="F43" i="35" s="1"/>
  <c r="H28" i="35"/>
  <c r="H42" i="35" s="1"/>
  <c r="D28" i="35"/>
  <c r="D42" i="35" s="1"/>
  <c r="F27" i="35"/>
  <c r="F41" i="35" s="1"/>
  <c r="H26" i="35"/>
  <c r="H40" i="35" s="1"/>
  <c r="D26" i="35"/>
  <c r="D40" i="35" s="1"/>
  <c r="F25" i="35"/>
  <c r="F39" i="35" s="1"/>
  <c r="C33" i="35"/>
  <c r="C47" i="35" s="1"/>
  <c r="C29" i="35"/>
  <c r="C43" i="35" s="1"/>
  <c r="C25" i="35"/>
  <c r="C39" i="35" s="1"/>
  <c r="F36" i="35"/>
  <c r="F50" i="35" s="1"/>
  <c r="H35" i="35"/>
  <c r="H49" i="35" s="1"/>
  <c r="D35" i="35"/>
  <c r="D49" i="35" s="1"/>
  <c r="F34" i="35"/>
  <c r="F48" i="35" s="1"/>
  <c r="H33" i="35"/>
  <c r="H47" i="35" s="1"/>
  <c r="D33" i="35"/>
  <c r="D47" i="35" s="1"/>
  <c r="F32" i="35"/>
  <c r="F46" i="35" s="1"/>
  <c r="H31" i="35"/>
  <c r="H45" i="35" s="1"/>
  <c r="D31" i="35"/>
  <c r="D45" i="35" s="1"/>
  <c r="F30" i="35"/>
  <c r="F44" i="35" s="1"/>
  <c r="H29" i="35"/>
  <c r="H43" i="35" s="1"/>
  <c r="D29" i="35"/>
  <c r="D43" i="35" s="1"/>
  <c r="F28" i="35"/>
  <c r="F42" i="35" s="1"/>
  <c r="H27" i="35"/>
  <c r="H41" i="35" s="1"/>
  <c r="D27" i="35"/>
  <c r="D41" i="35" s="1"/>
  <c r="C36" i="35"/>
  <c r="C50" i="35" s="1"/>
  <c r="C32" i="35"/>
  <c r="C46" i="35" s="1"/>
  <c r="I36" i="35"/>
  <c r="I50" i="35" s="1"/>
  <c r="E36" i="35"/>
  <c r="E50" i="35" s="1"/>
  <c r="G35" i="35"/>
  <c r="G49" i="35" s="1"/>
  <c r="I34" i="35"/>
  <c r="I48" i="35" s="1"/>
  <c r="E34" i="35"/>
  <c r="E48" i="35" s="1"/>
  <c r="G33" i="35"/>
  <c r="G47" i="35" s="1"/>
  <c r="I32" i="35"/>
  <c r="I46" i="35" s="1"/>
  <c r="E32" i="35"/>
  <c r="E46" i="35" s="1"/>
  <c r="G31" i="35"/>
  <c r="G45" i="35" s="1"/>
  <c r="I30" i="35"/>
  <c r="I44" i="35" s="1"/>
  <c r="E30" i="35"/>
  <c r="E44" i="35" s="1"/>
  <c r="G29" i="35"/>
  <c r="G43" i="35" s="1"/>
  <c r="I28" i="35"/>
  <c r="I42" i="35" s="1"/>
  <c r="E28" i="35"/>
  <c r="E42" i="35" s="1"/>
  <c r="G27" i="35"/>
  <c r="G41" i="35" s="1"/>
  <c r="B29" i="35"/>
  <c r="B43" i="35" s="1"/>
  <c r="B27" i="35"/>
  <c r="B41" i="35" s="1"/>
  <c r="B31" i="35"/>
  <c r="B45" i="35" s="1"/>
  <c r="B35" i="35"/>
  <c r="B49" i="35" s="1"/>
  <c r="B33" i="35"/>
  <c r="B47" i="35" s="1"/>
  <c r="B25" i="35"/>
  <c r="B39" i="35" s="1"/>
  <c r="B30" i="35"/>
  <c r="B44" i="35" s="1"/>
  <c r="B34" i="35"/>
  <c r="B48" i="35" s="1"/>
  <c r="B26" i="35"/>
  <c r="B40" i="35" s="1"/>
  <c r="B28" i="35"/>
  <c r="B42" i="35" s="1"/>
  <c r="B32" i="35"/>
  <c r="B46" i="35" s="1"/>
  <c r="H52" i="35" l="1"/>
  <c r="I52" i="35"/>
  <c r="G52" i="35"/>
  <c r="F52" i="35"/>
  <c r="E52" i="35"/>
  <c r="D52" i="35"/>
  <c r="C52" i="35"/>
  <c r="B52" i="35"/>
  <c r="I3" i="33" l="1"/>
  <c r="I4" i="33" s="1"/>
  <c r="I5" i="33" s="1"/>
  <c r="I6" i="33" s="1"/>
  <c r="I7" i="33" s="1"/>
  <c r="I8" i="33" s="1"/>
  <c r="I9" i="33" s="1"/>
  <c r="I10" i="33" s="1"/>
  <c r="I11" i="33" s="1"/>
  <c r="I12" i="33" s="1"/>
  <c r="I3" i="31"/>
  <c r="I4" i="31" s="1"/>
  <c r="I5" i="31" s="1"/>
  <c r="I6" i="31" s="1"/>
  <c r="I7" i="31" s="1"/>
  <c r="I8" i="31" s="1"/>
  <c r="I9" i="31" s="1"/>
  <c r="I10" i="31" s="1"/>
  <c r="I11" i="31" s="1"/>
  <c r="I12" i="31" s="1"/>
  <c r="I13" i="31" s="1"/>
  <c r="I14" i="31" s="1"/>
  <c r="I15" i="31" s="1"/>
  <c r="I16" i="31" s="1"/>
  <c r="I17" i="31" s="1"/>
  <c r="I18" i="31" s="1"/>
  <c r="I19" i="31" s="1"/>
  <c r="I20" i="31" s="1"/>
  <c r="I21" i="31" s="1"/>
  <c r="I22" i="31" s="1"/>
  <c r="I23" i="31" s="1"/>
  <c r="I24" i="31" s="1"/>
  <c r="I25" i="31" s="1"/>
  <c r="I26" i="31" s="1"/>
  <c r="I27" i="31" s="1"/>
  <c r="I28" i="31" s="1"/>
  <c r="I29" i="31" s="1"/>
  <c r="I30" i="31" s="1"/>
  <c r="I31" i="31" s="1"/>
  <c r="I32" i="31" s="1"/>
  <c r="I3" i="30"/>
  <c r="I4" i="30" s="1"/>
  <c r="I5" i="30" s="1"/>
  <c r="I6" i="30" s="1"/>
  <c r="I7" i="30" s="1"/>
  <c r="I8" i="30" s="1"/>
  <c r="I9" i="30" s="1"/>
  <c r="I10" i="30" s="1"/>
  <c r="I11" i="30" s="1"/>
  <c r="I12" i="30" s="1"/>
  <c r="I13" i="30" s="1"/>
  <c r="I14" i="30" s="1"/>
  <c r="I15" i="30" s="1"/>
  <c r="I16" i="30" s="1"/>
  <c r="I17" i="30" s="1"/>
  <c r="I18" i="30" s="1"/>
  <c r="I19" i="30" s="1"/>
  <c r="I20" i="30" s="1"/>
  <c r="I21" i="30" s="1"/>
  <c r="I22" i="30" s="1"/>
  <c r="I23" i="30" s="1"/>
  <c r="I24" i="30" s="1"/>
  <c r="I25" i="30" s="1"/>
  <c r="I26" i="30" s="1"/>
  <c r="I27" i="30" s="1"/>
  <c r="I28" i="30" s="1"/>
  <c r="I29" i="30" s="1"/>
  <c r="I30" i="30" s="1"/>
  <c r="I31" i="30" s="1"/>
  <c r="I32" i="30" s="1"/>
  <c r="I3" i="32"/>
  <c r="I4" i="32" s="1"/>
  <c r="I5" i="32" s="1"/>
  <c r="I6" i="32" s="1"/>
  <c r="I7" i="32" s="1"/>
  <c r="I8" i="32" s="1"/>
  <c r="I9" i="32" s="1"/>
  <c r="I10" i="32" s="1"/>
  <c r="I11" i="32" s="1"/>
  <c r="I12" i="32" s="1"/>
  <c r="I13" i="32" s="1"/>
  <c r="I14" i="32" s="1"/>
  <c r="I15" i="32" s="1"/>
  <c r="I16" i="32" s="1"/>
  <c r="I17" i="32" s="1"/>
  <c r="I18" i="32" s="1"/>
  <c r="I19" i="32" s="1"/>
  <c r="I20" i="32" s="1"/>
  <c r="I21" i="32" s="1"/>
  <c r="I22" i="32" s="1"/>
  <c r="I23" i="32" s="1"/>
  <c r="I24" i="32" s="1"/>
  <c r="I25" i="32" s="1"/>
  <c r="I26" i="32" s="1"/>
  <c r="I27" i="32" s="1"/>
  <c r="I28" i="32" s="1"/>
  <c r="I29" i="32" s="1"/>
  <c r="I30" i="32" s="1"/>
  <c r="I31" i="32" s="1"/>
  <c r="I32" i="32" s="1"/>
  <c r="I3" i="29"/>
  <c r="I4" i="29" s="1"/>
  <c r="I5" i="29" s="1"/>
  <c r="I6" i="29" s="1"/>
  <c r="I7" i="29" s="1"/>
  <c r="I8" i="29" s="1"/>
  <c r="I9" i="29" s="1"/>
  <c r="I10" i="29" s="1"/>
  <c r="I11" i="29" s="1"/>
  <c r="I12" i="29" s="1"/>
  <c r="I3" i="28"/>
  <c r="I4" i="28" s="1"/>
  <c r="I5" i="28" s="1"/>
  <c r="I6" i="28" s="1"/>
  <c r="I7" i="28" s="1"/>
  <c r="I8" i="28" s="1"/>
  <c r="I9" i="28" s="1"/>
  <c r="I10" i="28" s="1"/>
  <c r="I11" i="28" s="1"/>
  <c r="I12" i="28" s="1"/>
  <c r="I13" i="28" s="1"/>
  <c r="I14" i="28" s="1"/>
  <c r="I15" i="28" s="1"/>
  <c r="I16" i="28" s="1"/>
  <c r="I17" i="28" s="1"/>
  <c r="I18" i="28" s="1"/>
  <c r="I19" i="28" s="1"/>
  <c r="I20" i="28" s="1"/>
  <c r="I21" i="28" s="1"/>
  <c r="I22" i="28" s="1"/>
  <c r="I23" i="28" s="1"/>
  <c r="I24" i="28" s="1"/>
  <c r="I25" i="28" s="1"/>
  <c r="I26" i="28" s="1"/>
  <c r="I27" i="28" s="1"/>
  <c r="I28" i="28" s="1"/>
  <c r="I29" i="28" s="1"/>
  <c r="I30" i="28" s="1"/>
  <c r="I31" i="28" s="1"/>
  <c r="I32" i="28" s="1"/>
  <c r="I3" i="34"/>
  <c r="I4" i="34" s="1"/>
  <c r="I5" i="34" s="1"/>
  <c r="I6" i="34" s="1"/>
  <c r="I7" i="34" s="1"/>
  <c r="I8" i="34" s="1"/>
  <c r="I9" i="34" s="1"/>
  <c r="I10" i="34" s="1"/>
  <c r="I11" i="34" s="1"/>
  <c r="I12" i="34" s="1"/>
  <c r="I54" i="35"/>
  <c r="K30" i="2" s="1"/>
  <c r="I3" i="8"/>
  <c r="I4" i="8" s="1"/>
  <c r="I5" i="8" s="1"/>
  <c r="I6" i="8" s="1"/>
  <c r="I7" i="8" s="1"/>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 r="B54" i="35"/>
  <c r="D30" i="2" s="1"/>
  <c r="F54" i="35"/>
  <c r="H30" i="2" s="1"/>
  <c r="C54" i="35"/>
  <c r="E30" i="2" s="1"/>
  <c r="G54" i="35"/>
  <c r="I30" i="2" s="1"/>
  <c r="I13" i="29"/>
  <c r="I14" i="29" s="1"/>
  <c r="I15" i="29" s="1"/>
  <c r="I16" i="29" s="1"/>
  <c r="I17" i="29" s="1"/>
  <c r="I18" i="29" s="1"/>
  <c r="I19" i="29" s="1"/>
  <c r="I20" i="29" s="1"/>
  <c r="I21" i="29" s="1"/>
  <c r="I22" i="29" s="1"/>
  <c r="I23" i="29" s="1"/>
  <c r="I24" i="29" s="1"/>
  <c r="I25" i="29" s="1"/>
  <c r="I26" i="29" s="1"/>
  <c r="I27" i="29" s="1"/>
  <c r="I28" i="29" s="1"/>
  <c r="I29" i="29" s="1"/>
  <c r="I30" i="29" s="1"/>
  <c r="I31" i="29" s="1"/>
  <c r="I32" i="29" s="1"/>
  <c r="D54" i="35"/>
  <c r="F30" i="2" s="1"/>
  <c r="E54" i="35"/>
  <c r="G30" i="2" s="1"/>
  <c r="I13" i="33"/>
  <c r="I14" i="33" s="1"/>
  <c r="I15" i="33" s="1"/>
  <c r="I16" i="33" s="1"/>
  <c r="I17" i="33" s="1"/>
  <c r="I18" i="33" s="1"/>
  <c r="I19" i="33" s="1"/>
  <c r="I20" i="33" s="1"/>
  <c r="I21" i="33" s="1"/>
  <c r="I22" i="33" s="1"/>
  <c r="I23" i="33" s="1"/>
  <c r="I24" i="33" s="1"/>
  <c r="I25" i="33" s="1"/>
  <c r="I26" i="33" s="1"/>
  <c r="I27" i="33" s="1"/>
  <c r="I28" i="33" s="1"/>
  <c r="I29" i="33" s="1"/>
  <c r="I30" i="33" s="1"/>
  <c r="I31" i="33" s="1"/>
  <c r="I32" i="33" s="1"/>
  <c r="H54" i="35"/>
  <c r="J30" i="2" s="1"/>
  <c r="C32" i="32"/>
  <c r="C23" i="32"/>
  <c r="C24" i="32"/>
  <c r="C25" i="32"/>
  <c r="C26" i="32"/>
  <c r="C27" i="32"/>
  <c r="C28" i="32"/>
  <c r="C29" i="32"/>
  <c r="C30" i="32"/>
  <c r="C31" i="32"/>
  <c r="C3" i="32"/>
  <c r="C4" i="32" s="1"/>
  <c r="C5" i="32" s="1"/>
  <c r="C6" i="32" s="1"/>
  <c r="C7" i="32" s="1"/>
  <c r="C8" i="32" s="1"/>
  <c r="C9" i="32" s="1"/>
  <c r="C10" i="32" s="1"/>
  <c r="C11" i="32" s="1"/>
  <c r="C12" i="32" s="1"/>
  <c r="C13" i="32" s="1"/>
  <c r="C14" i="32" s="1"/>
  <c r="C15" i="32" s="1"/>
  <c r="C16" i="32" s="1"/>
  <c r="C17" i="32" s="1"/>
  <c r="C18" i="32" s="1"/>
  <c r="C19" i="32" s="1"/>
  <c r="C20" i="32" s="1"/>
  <c r="C21" i="32" s="1"/>
  <c r="C22" i="32" s="1"/>
  <c r="I13" i="34" l="1"/>
  <c r="I14" i="34" s="1"/>
  <c r="I15" i="34" s="1"/>
  <c r="I16" i="34" s="1"/>
  <c r="I17" i="34" s="1"/>
  <c r="I18" i="34" s="1"/>
  <c r="I19" i="34" s="1"/>
  <c r="I20" i="34" s="1"/>
  <c r="I21" i="34" s="1"/>
  <c r="I22" i="34" s="1"/>
  <c r="I23" i="34" s="1"/>
  <c r="I24" i="34" s="1"/>
  <c r="I25" i="34" s="1"/>
  <c r="I26" i="34" s="1"/>
  <c r="I27" i="34" s="1"/>
  <c r="I28" i="34" s="1"/>
  <c r="I29" i="34" s="1"/>
  <c r="I30" i="34" s="1"/>
  <c r="I31" i="34" s="1"/>
  <c r="I32" i="34" s="1"/>
  <c r="C23" i="30"/>
  <c r="C24" i="30"/>
  <c r="C25" i="30"/>
  <c r="C26" i="30"/>
  <c r="C27" i="30"/>
  <c r="C28" i="30"/>
  <c r="C29" i="30"/>
  <c r="C30" i="30"/>
  <c r="C31" i="30"/>
  <c r="C32" i="30"/>
  <c r="C23" i="31"/>
  <c r="C24" i="31"/>
  <c r="C25" i="31"/>
  <c r="C26" i="31"/>
  <c r="C27" i="31"/>
  <c r="C28" i="31"/>
  <c r="C29" i="31"/>
  <c r="C30" i="31"/>
  <c r="C31" i="31"/>
  <c r="C32" i="31"/>
  <c r="C23" i="34"/>
  <c r="C24" i="34"/>
  <c r="C25" i="34"/>
  <c r="C26" i="34"/>
  <c r="C27" i="34"/>
  <c r="C28" i="34"/>
  <c r="C29" i="34"/>
  <c r="C30" i="34"/>
  <c r="C31" i="34"/>
  <c r="C32" i="34"/>
  <c r="C28" i="33"/>
  <c r="C29" i="33"/>
  <c r="C30" i="33"/>
  <c r="C31" i="33"/>
  <c r="C32" i="33"/>
  <c r="G17" i="2" l="1"/>
  <c r="G6" i="29" l="1"/>
  <c r="G4" i="29"/>
  <c r="G5" i="28"/>
  <c r="G7" i="29"/>
  <c r="G3" i="29"/>
  <c r="G6" i="28"/>
  <c r="G4" i="28"/>
  <c r="G8" i="28"/>
  <c r="G3" i="28"/>
  <c r="G7" i="28"/>
  <c r="G8" i="29"/>
  <c r="G5" i="29"/>
  <c r="B1" i="34"/>
  <c r="B1" i="33"/>
  <c r="B1" i="32"/>
  <c r="B1" i="31"/>
  <c r="B1" i="30"/>
  <c r="B1" i="29"/>
  <c r="C28" i="29"/>
  <c r="C29" i="29"/>
  <c r="C30" i="29"/>
  <c r="C31" i="29"/>
  <c r="C32" i="29"/>
  <c r="C28" i="28"/>
  <c r="C29" i="28"/>
  <c r="C30" i="28"/>
  <c r="C31" i="28"/>
  <c r="C32" i="28"/>
  <c r="B3" i="8"/>
  <c r="C28" i="8"/>
  <c r="C29" i="8"/>
  <c r="C30" i="8"/>
  <c r="C31" i="8"/>
  <c r="C32" i="8"/>
  <c r="B4" i="8" l="1"/>
  <c r="B5" i="8" s="1"/>
  <c r="B6" i="8" s="1"/>
  <c r="B7" i="8" s="1"/>
  <c r="B8" i="8" s="1"/>
  <c r="F3" i="8"/>
  <c r="C3" i="34"/>
  <c r="C4" i="34" s="1"/>
  <c r="C5" i="34" s="1"/>
  <c r="C6" i="34" s="1"/>
  <c r="C7" i="34" s="1"/>
  <c r="C8" i="34" s="1"/>
  <c r="C9" i="34" s="1"/>
  <c r="C10" i="34" s="1"/>
  <c r="C11" i="34" s="1"/>
  <c r="C12" i="34" s="1"/>
  <c r="C13" i="34" s="1"/>
  <c r="C14" i="34" s="1"/>
  <c r="C15" i="34" s="1"/>
  <c r="C16" i="34" s="1"/>
  <c r="C17" i="34" s="1"/>
  <c r="C18" i="34" s="1"/>
  <c r="C19" i="34" s="1"/>
  <c r="C20" i="34" s="1"/>
  <c r="C21" i="34" s="1"/>
  <c r="C22" i="34" s="1"/>
  <c r="B3" i="34"/>
  <c r="C3" i="33"/>
  <c r="C4" i="33" s="1"/>
  <c r="C5" i="33" s="1"/>
  <c r="C6" i="33" s="1"/>
  <c r="C7" i="33" s="1"/>
  <c r="C8" i="33" s="1"/>
  <c r="C9" i="33" s="1"/>
  <c r="C10" i="33" s="1"/>
  <c r="C11" i="33" s="1"/>
  <c r="C12" i="33" s="1"/>
  <c r="C13" i="33" s="1"/>
  <c r="C14" i="33" s="1"/>
  <c r="C15" i="33" s="1"/>
  <c r="C16" i="33" s="1"/>
  <c r="C17" i="33" s="1"/>
  <c r="C18" i="33" s="1"/>
  <c r="C19" i="33" s="1"/>
  <c r="C20" i="33" s="1"/>
  <c r="C21" i="33" s="1"/>
  <c r="C22" i="33" s="1"/>
  <c r="C23" i="33" s="1"/>
  <c r="C24" i="33" s="1"/>
  <c r="C25" i="33" s="1"/>
  <c r="C26" i="33" s="1"/>
  <c r="C27" i="33" s="1"/>
  <c r="B3" i="33"/>
  <c r="B3" i="32"/>
  <c r="H3" i="32" s="1"/>
  <c r="C3" i="31"/>
  <c r="C4" i="31" s="1"/>
  <c r="C5" i="31" s="1"/>
  <c r="C6" i="31" s="1"/>
  <c r="C7" i="31" s="1"/>
  <c r="C8" i="31" s="1"/>
  <c r="C9" i="31" s="1"/>
  <c r="C10" i="31" s="1"/>
  <c r="C11" i="31" s="1"/>
  <c r="C12" i="31" s="1"/>
  <c r="C13" i="31" s="1"/>
  <c r="C14" i="31" s="1"/>
  <c r="C15" i="31" s="1"/>
  <c r="C16" i="31" s="1"/>
  <c r="C17" i="31" s="1"/>
  <c r="C18" i="31" s="1"/>
  <c r="C19" i="31" s="1"/>
  <c r="C20" i="31" s="1"/>
  <c r="C21" i="31" s="1"/>
  <c r="C22" i="31" s="1"/>
  <c r="B3" i="31"/>
  <c r="C3" i="30"/>
  <c r="C4" i="30" s="1"/>
  <c r="C5" i="30" s="1"/>
  <c r="C6" i="30" s="1"/>
  <c r="C7" i="30" s="1"/>
  <c r="C8" i="30" s="1"/>
  <c r="C9" i="30" s="1"/>
  <c r="C10" i="30" s="1"/>
  <c r="C11" i="30" s="1"/>
  <c r="C12" i="30" s="1"/>
  <c r="C13" i="30" s="1"/>
  <c r="C14" i="30" s="1"/>
  <c r="C15" i="30" s="1"/>
  <c r="C16" i="30" s="1"/>
  <c r="C17" i="30" s="1"/>
  <c r="C18" i="30" s="1"/>
  <c r="C19" i="30" s="1"/>
  <c r="C20" i="30" s="1"/>
  <c r="C21" i="30" s="1"/>
  <c r="C22" i="30" s="1"/>
  <c r="B3" i="30"/>
  <c r="H3" i="30" s="1"/>
  <c r="C3" i="29"/>
  <c r="C4" i="29" s="1"/>
  <c r="C5" i="29" s="1"/>
  <c r="C6" i="29" s="1"/>
  <c r="C7" i="29" s="1"/>
  <c r="C8" i="29" s="1"/>
  <c r="C9" i="29" s="1"/>
  <c r="C10" i="29" s="1"/>
  <c r="C11" i="29" s="1"/>
  <c r="C12" i="29" s="1"/>
  <c r="C13" i="29" s="1"/>
  <c r="C14" i="29" s="1"/>
  <c r="C15" i="29" s="1"/>
  <c r="C16" i="29" s="1"/>
  <c r="C17" i="29" s="1"/>
  <c r="C18" i="29" s="1"/>
  <c r="C19" i="29" s="1"/>
  <c r="C20" i="29" s="1"/>
  <c r="C21" i="29" s="1"/>
  <c r="C22" i="29" s="1"/>
  <c r="C23" i="29" s="1"/>
  <c r="C24" i="29" s="1"/>
  <c r="C25" i="29" s="1"/>
  <c r="C26" i="29" s="1"/>
  <c r="C27" i="29" s="1"/>
  <c r="B3" i="29"/>
  <c r="H3" i="29" s="1"/>
  <c r="C3" i="28"/>
  <c r="C4" i="28" s="1"/>
  <c r="C5" i="28" s="1"/>
  <c r="C6" i="28" s="1"/>
  <c r="C7" i="28" s="1"/>
  <c r="C8" i="28" s="1"/>
  <c r="C9" i="28" s="1"/>
  <c r="C10" i="28" s="1"/>
  <c r="C11" i="28" s="1"/>
  <c r="C12" i="28" s="1"/>
  <c r="C13" i="28" s="1"/>
  <c r="C14" i="28" s="1"/>
  <c r="C15" i="28" s="1"/>
  <c r="C16" i="28" s="1"/>
  <c r="C17" i="28" s="1"/>
  <c r="C18" i="28" s="1"/>
  <c r="C19" i="28" s="1"/>
  <c r="C20" i="28" s="1"/>
  <c r="C21" i="28" s="1"/>
  <c r="C22" i="28" s="1"/>
  <c r="C23" i="28" s="1"/>
  <c r="C24" i="28" s="1"/>
  <c r="C25" i="28" s="1"/>
  <c r="C26" i="28" s="1"/>
  <c r="C27" i="28" s="1"/>
  <c r="B3" i="28"/>
  <c r="B1" i="28"/>
  <c r="E4" i="34"/>
  <c r="E5" i="34" s="1"/>
  <c r="E6" i="34" s="1"/>
  <c r="E7" i="34" s="1"/>
  <c r="E8" i="34" s="1"/>
  <c r="E9" i="34" s="1"/>
  <c r="E10" i="34" s="1"/>
  <c r="E11" i="34" s="1"/>
  <c r="E12" i="34" s="1"/>
  <c r="E13" i="34" s="1"/>
  <c r="E14" i="34" s="1"/>
  <c r="E15" i="34" s="1"/>
  <c r="E16" i="34" s="1"/>
  <c r="E17" i="34" s="1"/>
  <c r="E18" i="34" s="1"/>
  <c r="E19" i="34" s="1"/>
  <c r="E20" i="34" s="1"/>
  <c r="E21" i="34" s="1"/>
  <c r="E22" i="34" s="1"/>
  <c r="E23" i="34" s="1"/>
  <c r="E24" i="34" s="1"/>
  <c r="E25" i="34" s="1"/>
  <c r="E26" i="34" s="1"/>
  <c r="E27" i="34" s="1"/>
  <c r="E28" i="34" s="1"/>
  <c r="E29" i="34" s="1"/>
  <c r="E30" i="34" s="1"/>
  <c r="E31" i="34" s="1"/>
  <c r="E32" i="34" s="1"/>
  <c r="E4" i="33"/>
  <c r="E5" i="33" s="1"/>
  <c r="E6" i="33" s="1"/>
  <c r="E7" i="33" s="1"/>
  <c r="E8" i="33" s="1"/>
  <c r="E9" i="33" s="1"/>
  <c r="E10" i="33" s="1"/>
  <c r="E11" i="33" s="1"/>
  <c r="E12" i="33" s="1"/>
  <c r="E13" i="33" s="1"/>
  <c r="E14" i="33" s="1"/>
  <c r="E15" i="33" s="1"/>
  <c r="E16" i="33" s="1"/>
  <c r="E17" i="33" s="1"/>
  <c r="E18" i="33" s="1"/>
  <c r="E19" i="33" s="1"/>
  <c r="E20" i="33" s="1"/>
  <c r="E21" i="33" s="1"/>
  <c r="E22" i="33" s="1"/>
  <c r="E23" i="33" s="1"/>
  <c r="E24" i="33" s="1"/>
  <c r="E25" i="33" s="1"/>
  <c r="E26" i="33" s="1"/>
  <c r="E27" i="33" s="1"/>
  <c r="E28" i="33" s="1"/>
  <c r="E29" i="33" s="1"/>
  <c r="E30" i="33" s="1"/>
  <c r="E31" i="33" s="1"/>
  <c r="E32" i="33" s="1"/>
  <c r="E4" i="31"/>
  <c r="E5" i="31" s="1"/>
  <c r="E6" i="31" s="1"/>
  <c r="E7" i="31" s="1"/>
  <c r="E8" i="31" s="1"/>
  <c r="E9" i="31" s="1"/>
  <c r="E10" i="31" s="1"/>
  <c r="E11" i="31" s="1"/>
  <c r="E12" i="31" s="1"/>
  <c r="E13" i="31" s="1"/>
  <c r="E14" i="31" s="1"/>
  <c r="E15" i="31" s="1"/>
  <c r="E16" i="31" s="1"/>
  <c r="E17" i="31" s="1"/>
  <c r="E18" i="31" s="1"/>
  <c r="E19" i="31" s="1"/>
  <c r="E20" i="31" s="1"/>
  <c r="E21" i="31" s="1"/>
  <c r="E22" i="31" s="1"/>
  <c r="E23" i="31" s="1"/>
  <c r="E24" i="31" s="1"/>
  <c r="E25" i="31" s="1"/>
  <c r="E26" i="31" s="1"/>
  <c r="E27" i="31" s="1"/>
  <c r="E28" i="31" s="1"/>
  <c r="E29" i="31" s="1"/>
  <c r="E30" i="31" s="1"/>
  <c r="E31" i="31" s="1"/>
  <c r="E32" i="31" s="1"/>
  <c r="E4" i="29"/>
  <c r="E5" i="29" s="1"/>
  <c r="E6" i="29" s="1"/>
  <c r="E7" i="29" s="1"/>
  <c r="E8" i="29" s="1"/>
  <c r="E9" i="29" s="1"/>
  <c r="E10" i="29" s="1"/>
  <c r="E11" i="29" s="1"/>
  <c r="E12" i="29" s="1"/>
  <c r="E13" i="29" s="1"/>
  <c r="E14" i="29" s="1"/>
  <c r="E15" i="29" s="1"/>
  <c r="E16" i="29" s="1"/>
  <c r="E17" i="29" s="1"/>
  <c r="E18" i="29" s="1"/>
  <c r="E19" i="29" s="1"/>
  <c r="E20" i="29" s="1"/>
  <c r="E21" i="29" s="1"/>
  <c r="E22" i="29" s="1"/>
  <c r="E23" i="29" s="1"/>
  <c r="E24" i="29" s="1"/>
  <c r="E25" i="29" s="1"/>
  <c r="E26" i="29" s="1"/>
  <c r="E27" i="29" s="1"/>
  <c r="E28" i="29" s="1"/>
  <c r="E29" i="29" s="1"/>
  <c r="E30" i="29" s="1"/>
  <c r="E31" i="29" s="1"/>
  <c r="E32" i="29" s="1"/>
  <c r="E4" i="28"/>
  <c r="E5" i="28" s="1"/>
  <c r="E6" i="28" s="1"/>
  <c r="E7" i="28" s="1"/>
  <c r="E8" i="28" s="1"/>
  <c r="E9" i="28" s="1"/>
  <c r="E10" i="28" s="1"/>
  <c r="E11" i="28" s="1"/>
  <c r="E12" i="28" s="1"/>
  <c r="E13" i="28" s="1"/>
  <c r="E14" i="28" s="1"/>
  <c r="E15" i="28" s="1"/>
  <c r="E16" i="28" s="1"/>
  <c r="E17" i="28" s="1"/>
  <c r="E18" i="28" s="1"/>
  <c r="E19" i="28" s="1"/>
  <c r="E20" i="28" s="1"/>
  <c r="E21" i="28" s="1"/>
  <c r="E22" i="28" s="1"/>
  <c r="E23" i="28" s="1"/>
  <c r="E24" i="28" s="1"/>
  <c r="E25" i="28" s="1"/>
  <c r="E26" i="28" s="1"/>
  <c r="E27" i="28" s="1"/>
  <c r="E28" i="28" s="1"/>
  <c r="E29" i="28" s="1"/>
  <c r="E30" i="28" s="1"/>
  <c r="E31" i="28" s="1"/>
  <c r="E32" i="28" s="1"/>
  <c r="B1" i="8"/>
  <c r="E50" i="2"/>
  <c r="F50" i="2"/>
  <c r="H50" i="2"/>
  <c r="I50" i="2"/>
  <c r="J50" i="2"/>
  <c r="K50" i="2"/>
  <c r="D50" i="2"/>
  <c r="E37" i="2"/>
  <c r="F37" i="2"/>
  <c r="G37" i="2"/>
  <c r="H37" i="2"/>
  <c r="I37" i="2"/>
  <c r="J37" i="2"/>
  <c r="K37" i="2"/>
  <c r="D37" i="2"/>
  <c r="C3" i="8"/>
  <c r="C4" i="8" s="1"/>
  <c r="C5" i="8" s="1"/>
  <c r="C6" i="8" s="1"/>
  <c r="C7" i="8" s="1"/>
  <c r="C8" i="8" s="1"/>
  <c r="C9" i="8" s="1"/>
  <c r="C10" i="8" s="1"/>
  <c r="C11" i="8" s="1"/>
  <c r="C12" i="8" s="1"/>
  <c r="C13" i="8" s="1"/>
  <c r="C14" i="8" s="1"/>
  <c r="C15" i="8" s="1"/>
  <c r="C16" i="8" s="1"/>
  <c r="C17" i="8" s="1"/>
  <c r="C18" i="8" s="1"/>
  <c r="C19" i="8" s="1"/>
  <c r="C20" i="8" s="1"/>
  <c r="C21" i="8" s="1"/>
  <c r="C22" i="8" s="1"/>
  <c r="C23" i="8" s="1"/>
  <c r="C24" i="8" s="1"/>
  <c r="C25" i="8" s="1"/>
  <c r="C26" i="8" s="1"/>
  <c r="C27" i="8" s="1"/>
  <c r="E5" i="8"/>
  <c r="E6" i="8" s="1"/>
  <c r="E7" i="8" s="1"/>
  <c r="E8" i="8" s="1"/>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B4" i="34" l="1"/>
  <c r="H4" i="34" s="1"/>
  <c r="H3" i="34"/>
  <c r="B4" i="33"/>
  <c r="H4" i="33" s="1"/>
  <c r="H3" i="33"/>
  <c r="B4" i="31"/>
  <c r="H4" i="31" s="1"/>
  <c r="H3" i="31"/>
  <c r="B4" i="28"/>
  <c r="D4" i="28" s="1"/>
  <c r="H3" i="28"/>
  <c r="B9" i="8"/>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D3" i="30"/>
  <c r="E4" i="30"/>
  <c r="E5" i="30" s="1"/>
  <c r="E6" i="30" s="1"/>
  <c r="E7" i="30" s="1"/>
  <c r="E8" i="30" s="1"/>
  <c r="E9" i="30" s="1"/>
  <c r="E10" i="30" s="1"/>
  <c r="E11" i="30" s="1"/>
  <c r="E12" i="30" s="1"/>
  <c r="E13" i="30" s="1"/>
  <c r="E14" i="30" s="1"/>
  <c r="E15" i="30" s="1"/>
  <c r="E16" i="30" s="1"/>
  <c r="E17" i="30" s="1"/>
  <c r="E18" i="30" s="1"/>
  <c r="E19" i="30" s="1"/>
  <c r="E20" i="30" s="1"/>
  <c r="E21" i="30" s="1"/>
  <c r="E22" i="30" s="1"/>
  <c r="E23" i="30" s="1"/>
  <c r="E24" i="30" s="1"/>
  <c r="E25" i="30" s="1"/>
  <c r="E26" i="30" s="1"/>
  <c r="E27" i="30" s="1"/>
  <c r="E28" i="30" s="1"/>
  <c r="E29" i="30" s="1"/>
  <c r="E30" i="30" s="1"/>
  <c r="E31" i="30" s="1"/>
  <c r="E32" i="30" s="1"/>
  <c r="F3" i="30"/>
  <c r="E4" i="32"/>
  <c r="D3" i="32"/>
  <c r="D3" i="29"/>
  <c r="D3" i="28"/>
  <c r="D3" i="34"/>
  <c r="D4" i="34"/>
  <c r="F3" i="34"/>
  <c r="F4" i="33"/>
  <c r="D3" i="33"/>
  <c r="F3" i="33"/>
  <c r="F3" i="32"/>
  <c r="B4" i="32"/>
  <c r="H4" i="32" s="1"/>
  <c r="F4" i="31"/>
  <c r="D4" i="31"/>
  <c r="D3" i="31"/>
  <c r="F3" i="31"/>
  <c r="B4" i="30"/>
  <c r="H4" i="30" s="1"/>
  <c r="F3" i="29"/>
  <c r="B4" i="29"/>
  <c r="H4" i="29" s="1"/>
  <c r="F3" i="28"/>
  <c r="H3" i="8"/>
  <c r="B5" i="33" l="1"/>
  <c r="H5" i="33" s="1"/>
  <c r="B5" i="31"/>
  <c r="H5" i="31" s="1"/>
  <c r="B5" i="34"/>
  <c r="H5" i="34" s="1"/>
  <c r="F4" i="34"/>
  <c r="F4" i="28"/>
  <c r="D4" i="33"/>
  <c r="B5" i="28"/>
  <c r="H4" i="28"/>
  <c r="J4" i="28" s="1"/>
  <c r="K3" i="32"/>
  <c r="K3" i="33"/>
  <c r="J38" i="2" s="1"/>
  <c r="K3" i="30"/>
  <c r="G38" i="2" s="1"/>
  <c r="J3" i="32"/>
  <c r="E5" i="32"/>
  <c r="J3" i="30"/>
  <c r="K3" i="28"/>
  <c r="E38" i="2" s="1"/>
  <c r="J3" i="29"/>
  <c r="K3" i="31"/>
  <c r="H38" i="2" s="1"/>
  <c r="J4" i="31"/>
  <c r="K3" i="34"/>
  <c r="K38" i="2" s="1"/>
  <c r="J3" i="33"/>
  <c r="F5" i="34"/>
  <c r="D5" i="33"/>
  <c r="B6" i="33"/>
  <c r="H6" i="33" s="1"/>
  <c r="F5" i="33"/>
  <c r="D4" i="32"/>
  <c r="F4" i="32"/>
  <c r="B5" i="32"/>
  <c r="H5" i="32" s="1"/>
  <c r="D5" i="31"/>
  <c r="F5" i="31"/>
  <c r="B6" i="31"/>
  <c r="H6" i="31" s="1"/>
  <c r="D4" i="30"/>
  <c r="F4" i="30"/>
  <c r="B5" i="30"/>
  <c r="H5" i="30" s="1"/>
  <c r="B5" i="29"/>
  <c r="H5" i="29" s="1"/>
  <c r="D4" i="29"/>
  <c r="F4" i="29"/>
  <c r="B2" i="6"/>
  <c r="B3" i="6" s="1"/>
  <c r="B4" i="6" s="1"/>
  <c r="B5" i="6" s="1"/>
  <c r="B6" i="34" l="1"/>
  <c r="H6" i="34" s="1"/>
  <c r="D5" i="34"/>
  <c r="K5" i="34" s="1"/>
  <c r="M5" i="34" s="1"/>
  <c r="H5" i="28"/>
  <c r="B6" i="28"/>
  <c r="D5" i="28"/>
  <c r="F5" i="28"/>
  <c r="M3" i="32"/>
  <c r="N3" i="32" s="1"/>
  <c r="I51" i="2" s="1"/>
  <c r="I38" i="2"/>
  <c r="K4" i="30"/>
  <c r="M4" i="30" s="1"/>
  <c r="K4" i="34"/>
  <c r="M4" i="34" s="1"/>
  <c r="K5" i="31"/>
  <c r="M5" i="31" s="1"/>
  <c r="L3" i="28"/>
  <c r="K4" i="28"/>
  <c r="M4" i="28" s="1"/>
  <c r="K4" i="29"/>
  <c r="M4" i="29" s="1"/>
  <c r="K4" i="32"/>
  <c r="M4" i="32" s="1"/>
  <c r="L3" i="34"/>
  <c r="K3" i="29"/>
  <c r="K4" i="31"/>
  <c r="M4" i="31" s="1"/>
  <c r="J4" i="32"/>
  <c r="J3" i="34"/>
  <c r="J3" i="28"/>
  <c r="E6" i="32"/>
  <c r="J4" i="34"/>
  <c r="J3" i="31"/>
  <c r="L3" i="32"/>
  <c r="M3" i="28"/>
  <c r="J4" i="30"/>
  <c r="M3" i="34"/>
  <c r="J5" i="31"/>
  <c r="J4" i="29"/>
  <c r="D6" i="34"/>
  <c r="B7" i="34"/>
  <c r="H7" i="34" s="1"/>
  <c r="F6" i="34"/>
  <c r="M3" i="33"/>
  <c r="L3" i="33"/>
  <c r="J5" i="33"/>
  <c r="D6" i="33"/>
  <c r="B7" i="33"/>
  <c r="H7" i="33" s="1"/>
  <c r="F6" i="33"/>
  <c r="D5" i="32"/>
  <c r="B6" i="32"/>
  <c r="H6" i="32" s="1"/>
  <c r="F5" i="32"/>
  <c r="L3" i="31"/>
  <c r="M3" i="31"/>
  <c r="B7" i="31"/>
  <c r="H7" i="31" s="1"/>
  <c r="F6" i="31"/>
  <c r="D6" i="31"/>
  <c r="M3" i="30"/>
  <c r="L3" i="30"/>
  <c r="F5" i="30"/>
  <c r="D5" i="30"/>
  <c r="B6" i="30"/>
  <c r="H6" i="30" s="1"/>
  <c r="D5" i="29"/>
  <c r="B6" i="29"/>
  <c r="H6" i="29" s="1"/>
  <c r="F5" i="29"/>
  <c r="D3" i="8"/>
  <c r="K3" i="8" s="1"/>
  <c r="B6" i="6"/>
  <c r="B7" i="6" s="1"/>
  <c r="K5" i="28" l="1"/>
  <c r="M5" i="28" s="1"/>
  <c r="J5" i="28"/>
  <c r="J5" i="34"/>
  <c r="H6" i="28"/>
  <c r="B7" i="28"/>
  <c r="F6" i="28"/>
  <c r="D6" i="28"/>
  <c r="J6" i="28" s="1"/>
  <c r="M3" i="8"/>
  <c r="N3" i="8" s="1"/>
  <c r="D51" i="2" s="1"/>
  <c r="D38" i="2"/>
  <c r="M3" i="29"/>
  <c r="N3" i="29" s="1"/>
  <c r="F51" i="2" s="1"/>
  <c r="F38" i="2"/>
  <c r="N4" i="32"/>
  <c r="K6" i="31"/>
  <c r="M6" i="31" s="1"/>
  <c r="K5" i="32"/>
  <c r="M5" i="32" s="1"/>
  <c r="K5" i="29"/>
  <c r="M5" i="29" s="1"/>
  <c r="K5" i="33"/>
  <c r="M5" i="33" s="1"/>
  <c r="L3" i="8"/>
  <c r="K6" i="34"/>
  <c r="M6" i="34" s="1"/>
  <c r="L4" i="34"/>
  <c r="L5" i="34" s="1"/>
  <c r="J4" i="33"/>
  <c r="K4" i="33"/>
  <c r="M4" i="33" s="1"/>
  <c r="L3" i="29"/>
  <c r="J5" i="32"/>
  <c r="L4" i="28"/>
  <c r="J5" i="30"/>
  <c r="E7" i="32"/>
  <c r="N3" i="31"/>
  <c r="H51" i="2" s="1"/>
  <c r="N3" i="30"/>
  <c r="G51" i="2" s="1"/>
  <c r="N3" i="34"/>
  <c r="K51" i="2" s="1"/>
  <c r="N3" i="28"/>
  <c r="E51" i="2" s="1"/>
  <c r="N3" i="33"/>
  <c r="J51" i="2" s="1"/>
  <c r="L4" i="31"/>
  <c r="L5" i="31" s="1"/>
  <c r="L4" i="30"/>
  <c r="J6" i="31"/>
  <c r="J6" i="34"/>
  <c r="D7" i="34"/>
  <c r="F7" i="34"/>
  <c r="B8" i="34"/>
  <c r="H8" i="34" s="1"/>
  <c r="D7" i="33"/>
  <c r="B8" i="33"/>
  <c r="H8" i="33" s="1"/>
  <c r="F7" i="33"/>
  <c r="J6" i="33"/>
  <c r="L4" i="32"/>
  <c r="D6" i="32"/>
  <c r="F6" i="32"/>
  <c r="B7" i="32"/>
  <c r="H7" i="32" s="1"/>
  <c r="D7" i="31"/>
  <c r="F7" i="31"/>
  <c r="B8" i="31"/>
  <c r="H8" i="31" s="1"/>
  <c r="D6" i="30"/>
  <c r="B7" i="30"/>
  <c r="H7" i="30" s="1"/>
  <c r="F6" i="30"/>
  <c r="D6" i="29"/>
  <c r="B7" i="29"/>
  <c r="H7" i="29" s="1"/>
  <c r="F6" i="29"/>
  <c r="J5" i="29"/>
  <c r="H4" i="8"/>
  <c r="J3" i="8"/>
  <c r="F4" i="8"/>
  <c r="D4" i="8"/>
  <c r="L5" i="28" l="1"/>
  <c r="K6" i="28"/>
  <c r="M6" i="28" s="1"/>
  <c r="H7" i="28"/>
  <c r="D7" i="28"/>
  <c r="J7" i="28" s="1"/>
  <c r="B8" i="28"/>
  <c r="F7" i="28"/>
  <c r="N4" i="29"/>
  <c r="L4" i="29"/>
  <c r="L5" i="29" s="1"/>
  <c r="N5" i="32"/>
  <c r="K5" i="30"/>
  <c r="M5" i="30" s="1"/>
  <c r="K4" i="8"/>
  <c r="M4" i="8" s="1"/>
  <c r="K7" i="34"/>
  <c r="K6" i="29"/>
  <c r="M6" i="29" s="1"/>
  <c r="K7" i="31"/>
  <c r="L4" i="33"/>
  <c r="L5" i="33" s="1"/>
  <c r="K6" i="30"/>
  <c r="M6" i="30" s="1"/>
  <c r="K6" i="32"/>
  <c r="M6" i="32" s="1"/>
  <c r="K6" i="33"/>
  <c r="M6" i="33" s="1"/>
  <c r="J6" i="32"/>
  <c r="N5" i="29"/>
  <c r="N4" i="31"/>
  <c r="N5" i="31" s="1"/>
  <c r="N6" i="31" s="1"/>
  <c r="E8" i="32"/>
  <c r="N4" i="34"/>
  <c r="N5" i="34" s="1"/>
  <c r="N6" i="34" s="1"/>
  <c r="N4" i="28"/>
  <c r="N5" i="28" s="1"/>
  <c r="N4" i="30"/>
  <c r="N4" i="33"/>
  <c r="N5" i="33" s="1"/>
  <c r="L5" i="32"/>
  <c r="J7" i="31"/>
  <c r="L6" i="31"/>
  <c r="J6" i="29"/>
  <c r="D8" i="34"/>
  <c r="F8" i="34"/>
  <c r="B9" i="34"/>
  <c r="H9" i="34" s="1"/>
  <c r="J7" i="34"/>
  <c r="L6" i="34"/>
  <c r="D8" i="33"/>
  <c r="B9" i="33"/>
  <c r="H9" i="33" s="1"/>
  <c r="F8" i="33"/>
  <c r="K7" i="33"/>
  <c r="J39" i="2" s="1"/>
  <c r="D7" i="32"/>
  <c r="B8" i="32"/>
  <c r="H8" i="32" s="1"/>
  <c r="F7" i="32"/>
  <c r="F8" i="31"/>
  <c r="B9" i="31"/>
  <c r="H9" i="31" s="1"/>
  <c r="D8" i="31"/>
  <c r="B8" i="30"/>
  <c r="H8" i="30" s="1"/>
  <c r="F7" i="30"/>
  <c r="D7" i="30"/>
  <c r="J6" i="30"/>
  <c r="D7" i="29"/>
  <c r="B8" i="29"/>
  <c r="H8" i="29" s="1"/>
  <c r="F7" i="29"/>
  <c r="F5" i="8"/>
  <c r="H5" i="8"/>
  <c r="J4" i="8"/>
  <c r="D5" i="8"/>
  <c r="N6" i="28" l="1"/>
  <c r="L6" i="28"/>
  <c r="K7" i="28"/>
  <c r="M7" i="28" s="1"/>
  <c r="H8" i="28"/>
  <c r="B9" i="28"/>
  <c r="D8" i="28"/>
  <c r="F8" i="28"/>
  <c r="M7" i="31"/>
  <c r="N7" i="31" s="1"/>
  <c r="H52" i="2" s="1"/>
  <c r="H39" i="2"/>
  <c r="M7" i="34"/>
  <c r="N7" i="34" s="1"/>
  <c r="K52" i="2" s="1"/>
  <c r="K39" i="2"/>
  <c r="L4" i="8"/>
  <c r="K7" i="30"/>
  <c r="N6" i="32"/>
  <c r="K7" i="32"/>
  <c r="N6" i="29"/>
  <c r="K7" i="29"/>
  <c r="K8" i="34"/>
  <c r="M8" i="34" s="1"/>
  <c r="K5" i="8"/>
  <c r="M5" i="8" s="1"/>
  <c r="K8" i="31"/>
  <c r="M8" i="31" s="1"/>
  <c r="J7" i="32"/>
  <c r="L5" i="30"/>
  <c r="L6" i="30" s="1"/>
  <c r="N5" i="30"/>
  <c r="N6" i="30" s="1"/>
  <c r="E9" i="32"/>
  <c r="N6" i="33"/>
  <c r="J7" i="30"/>
  <c r="L7" i="34"/>
  <c r="J8" i="31"/>
  <c r="J7" i="33"/>
  <c r="L6" i="32"/>
  <c r="L6" i="33"/>
  <c r="L7" i="33" s="1"/>
  <c r="D9" i="34"/>
  <c r="B10" i="34"/>
  <c r="H10" i="34" s="1"/>
  <c r="F9" i="34"/>
  <c r="J8" i="34"/>
  <c r="M7" i="33"/>
  <c r="D9" i="33"/>
  <c r="B10" i="33"/>
  <c r="H10" i="33" s="1"/>
  <c r="F9" i="33"/>
  <c r="D8" i="32"/>
  <c r="B9" i="32"/>
  <c r="H9" i="32" s="1"/>
  <c r="F8" i="32"/>
  <c r="L7" i="31"/>
  <c r="D9" i="31"/>
  <c r="B10" i="31"/>
  <c r="H10" i="31" s="1"/>
  <c r="F9" i="31"/>
  <c r="F8" i="30"/>
  <c r="D8" i="30"/>
  <c r="B9" i="30"/>
  <c r="H9" i="30" s="1"/>
  <c r="L6" i="29"/>
  <c r="D8" i="29"/>
  <c r="B9" i="29"/>
  <c r="H9" i="29" s="1"/>
  <c r="F8" i="29"/>
  <c r="J7" i="29"/>
  <c r="F6" i="8"/>
  <c r="H6" i="8"/>
  <c r="J5" i="8"/>
  <c r="D6" i="8"/>
  <c r="L7" i="28" l="1"/>
  <c r="N7" i="28"/>
  <c r="E52" i="2" s="1"/>
  <c r="E39" i="2"/>
  <c r="J8" i="28"/>
  <c r="H9" i="28"/>
  <c r="B10" i="28"/>
  <c r="D9" i="28"/>
  <c r="F9" i="28"/>
  <c r="K8" i="28"/>
  <c r="M8" i="28" s="1"/>
  <c r="M7" i="32"/>
  <c r="I39" i="2"/>
  <c r="M7" i="29"/>
  <c r="N7" i="29" s="1"/>
  <c r="F52" i="2" s="1"/>
  <c r="F39" i="2"/>
  <c r="M7" i="30"/>
  <c r="N7" i="30" s="1"/>
  <c r="G52" i="2" s="1"/>
  <c r="G39" i="2"/>
  <c r="L5" i="8"/>
  <c r="K8" i="29"/>
  <c r="M8" i="29" s="1"/>
  <c r="K9" i="31"/>
  <c r="M9" i="31" s="1"/>
  <c r="K8" i="30"/>
  <c r="M8" i="30" s="1"/>
  <c r="K6" i="8"/>
  <c r="K8" i="32"/>
  <c r="M8" i="32" s="1"/>
  <c r="K9" i="34"/>
  <c r="M9" i="34" s="1"/>
  <c r="K8" i="33"/>
  <c r="M8" i="33" s="1"/>
  <c r="J8" i="32"/>
  <c r="L8" i="28"/>
  <c r="N8" i="34"/>
  <c r="E10" i="32"/>
  <c r="N4" i="8"/>
  <c r="N5" i="8" s="1"/>
  <c r="N7" i="32"/>
  <c r="I52" i="2" s="1"/>
  <c r="N7" i="33"/>
  <c r="J52" i="2" s="1"/>
  <c r="N8" i="31"/>
  <c r="L7" i="30"/>
  <c r="J8" i="30"/>
  <c r="J8" i="29"/>
  <c r="J9" i="34"/>
  <c r="L7" i="32"/>
  <c r="J8" i="33"/>
  <c r="J9" i="31"/>
  <c r="L8" i="34"/>
  <c r="D10" i="34"/>
  <c r="B11" i="34"/>
  <c r="H11" i="34" s="1"/>
  <c r="F10" i="34"/>
  <c r="D10" i="33"/>
  <c r="B11" i="33"/>
  <c r="H11" i="33" s="1"/>
  <c r="F10" i="33"/>
  <c r="J9" i="33"/>
  <c r="D9" i="32"/>
  <c r="B10" i="32"/>
  <c r="H10" i="32" s="1"/>
  <c r="F9" i="32"/>
  <c r="L8" i="31"/>
  <c r="B11" i="31"/>
  <c r="H11" i="31" s="1"/>
  <c r="F10" i="31"/>
  <c r="D10" i="31"/>
  <c r="F9" i="30"/>
  <c r="D9" i="30"/>
  <c r="B10" i="30"/>
  <c r="H10" i="30" s="1"/>
  <c r="D9" i="29"/>
  <c r="B10" i="29"/>
  <c r="H10" i="29" s="1"/>
  <c r="F9" i="29"/>
  <c r="L7" i="29"/>
  <c r="F7" i="8"/>
  <c r="H7" i="8"/>
  <c r="D7" i="8"/>
  <c r="J6" i="8"/>
  <c r="N8" i="28" l="1"/>
  <c r="K9" i="28"/>
  <c r="M9" i="28" s="1"/>
  <c r="J9" i="28"/>
  <c r="N9" i="28"/>
  <c r="H10" i="28"/>
  <c r="F10" i="28"/>
  <c r="B11" i="28"/>
  <c r="D10" i="28"/>
  <c r="L6" i="8"/>
  <c r="M6" i="8"/>
  <c r="N6" i="8" s="1"/>
  <c r="L8" i="33"/>
  <c r="J10" i="34"/>
  <c r="K9" i="29"/>
  <c r="M9" i="29" s="1"/>
  <c r="K7" i="8"/>
  <c r="D39" i="2" s="1"/>
  <c r="K10" i="34"/>
  <c r="M10" i="34" s="1"/>
  <c r="K9" i="33"/>
  <c r="M9" i="33" s="1"/>
  <c r="K9" i="30"/>
  <c r="M9" i="30" s="1"/>
  <c r="K10" i="31"/>
  <c r="M10" i="31" s="1"/>
  <c r="K9" i="32"/>
  <c r="J9" i="32"/>
  <c r="N8" i="29"/>
  <c r="N9" i="34"/>
  <c r="E11" i="32"/>
  <c r="N9" i="31"/>
  <c r="N8" i="33"/>
  <c r="N8" i="32"/>
  <c r="N8" i="30"/>
  <c r="L8" i="29"/>
  <c r="L8" i="32"/>
  <c r="L9" i="31"/>
  <c r="J9" i="30"/>
  <c r="L9" i="34"/>
  <c r="D11" i="34"/>
  <c r="F11" i="34"/>
  <c r="B12" i="34"/>
  <c r="H12" i="34" s="1"/>
  <c r="K10" i="33"/>
  <c r="D11" i="33"/>
  <c r="B12" i="33"/>
  <c r="H12" i="33" s="1"/>
  <c r="F11" i="33"/>
  <c r="D10" i="32"/>
  <c r="F10" i="32"/>
  <c r="B11" i="32"/>
  <c r="H11" i="32" s="1"/>
  <c r="D11" i="31"/>
  <c r="F11" i="31"/>
  <c r="B12" i="31"/>
  <c r="H12" i="31" s="1"/>
  <c r="J10" i="31"/>
  <c r="D10" i="30"/>
  <c r="B11" i="30"/>
  <c r="H11" i="30" s="1"/>
  <c r="F10" i="30"/>
  <c r="L8" i="30"/>
  <c r="D10" i="29"/>
  <c r="B11" i="29"/>
  <c r="H11" i="29" s="1"/>
  <c r="F10" i="29"/>
  <c r="J9" i="29"/>
  <c r="F8" i="8"/>
  <c r="H8" i="8"/>
  <c r="D8" i="8"/>
  <c r="J7" i="8"/>
  <c r="L9" i="28" l="1"/>
  <c r="K10" i="28"/>
  <c r="M10" i="28" s="1"/>
  <c r="N10" i="28" s="1"/>
  <c r="L10" i="28"/>
  <c r="J10" i="28"/>
  <c r="H11" i="28"/>
  <c r="B12" i="28"/>
  <c r="F11" i="28"/>
  <c r="D11" i="28"/>
  <c r="L7" i="8"/>
  <c r="M7" i="8"/>
  <c r="N7" i="8" s="1"/>
  <c r="D52" i="2" s="1"/>
  <c r="K10" i="29"/>
  <c r="M10" i="29" s="1"/>
  <c r="K10" i="30"/>
  <c r="M10" i="30" s="1"/>
  <c r="K8" i="8"/>
  <c r="L8" i="8" s="1"/>
  <c r="K11" i="31"/>
  <c r="M11" i="31" s="1"/>
  <c r="K10" i="32"/>
  <c r="M10" i="32" s="1"/>
  <c r="M10" i="33"/>
  <c r="K11" i="34"/>
  <c r="M11" i="34" s="1"/>
  <c r="N9" i="29"/>
  <c r="N10" i="34"/>
  <c r="J10" i="32"/>
  <c r="E12" i="32"/>
  <c r="N10" i="31"/>
  <c r="N9" i="33"/>
  <c r="L10" i="31"/>
  <c r="N9" i="30"/>
  <c r="J10" i="30"/>
  <c r="J10" i="29"/>
  <c r="J11" i="34"/>
  <c r="L9" i="30"/>
  <c r="J11" i="31"/>
  <c r="D12" i="34"/>
  <c r="F12" i="34"/>
  <c r="K12" i="34" s="1"/>
  <c r="K40" i="2" s="1"/>
  <c r="B13" i="34"/>
  <c r="L10" i="34"/>
  <c r="D12" i="33"/>
  <c r="B13" i="33"/>
  <c r="F12" i="33"/>
  <c r="L9" i="33"/>
  <c r="L10" i="33" s="1"/>
  <c r="J10" i="33"/>
  <c r="J11" i="33"/>
  <c r="M9" i="32"/>
  <c r="N9" i="32" s="1"/>
  <c r="L9" i="32"/>
  <c r="D11" i="32"/>
  <c r="B12" i="32"/>
  <c r="H12" i="32" s="1"/>
  <c r="F11" i="32"/>
  <c r="F12" i="31"/>
  <c r="B13" i="31"/>
  <c r="D12" i="31"/>
  <c r="B12" i="30"/>
  <c r="H12" i="30" s="1"/>
  <c r="F11" i="30"/>
  <c r="D11" i="30"/>
  <c r="D11" i="29"/>
  <c r="B12" i="29"/>
  <c r="H12" i="29" s="1"/>
  <c r="F11" i="29"/>
  <c r="L9" i="29"/>
  <c r="F9" i="8"/>
  <c r="H9" i="8"/>
  <c r="D9" i="8"/>
  <c r="J8" i="8"/>
  <c r="H12" i="28" l="1"/>
  <c r="D12" i="28"/>
  <c r="J12" i="28" s="1"/>
  <c r="B13" i="28"/>
  <c r="F12" i="28"/>
  <c r="K12" i="28" s="1"/>
  <c r="M12" i="28" s="1"/>
  <c r="J11" i="28"/>
  <c r="K11" i="28"/>
  <c r="M12" i="34"/>
  <c r="K12" i="31"/>
  <c r="K9" i="8"/>
  <c r="K11" i="32"/>
  <c r="M11" i="32" s="1"/>
  <c r="N10" i="33"/>
  <c r="M8" i="8"/>
  <c r="N8" i="8" s="1"/>
  <c r="K11" i="29"/>
  <c r="M11" i="29" s="1"/>
  <c r="K11" i="30"/>
  <c r="M11" i="30" s="1"/>
  <c r="K11" i="33"/>
  <c r="M11" i="33" s="1"/>
  <c r="N10" i="29"/>
  <c r="N11" i="31"/>
  <c r="J11" i="32"/>
  <c r="N11" i="34"/>
  <c r="E13" i="32"/>
  <c r="L11" i="34"/>
  <c r="N10" i="30"/>
  <c r="L11" i="31"/>
  <c r="L10" i="32"/>
  <c r="N10" i="32"/>
  <c r="L10" i="29"/>
  <c r="J12" i="34"/>
  <c r="D13" i="34"/>
  <c r="B14" i="34"/>
  <c r="F13" i="34"/>
  <c r="H13" i="34"/>
  <c r="J12" i="33"/>
  <c r="D13" i="33"/>
  <c r="B14" i="33"/>
  <c r="F13" i="33"/>
  <c r="D12" i="32"/>
  <c r="B13" i="32"/>
  <c r="H13" i="32" s="1"/>
  <c r="F12" i="32"/>
  <c r="J12" i="31"/>
  <c r="D13" i="31"/>
  <c r="F13" i="31"/>
  <c r="B14" i="31"/>
  <c r="H13" i="31"/>
  <c r="J11" i="30"/>
  <c r="F12" i="30"/>
  <c r="D12" i="30"/>
  <c r="B13" i="30"/>
  <c r="L10" i="30"/>
  <c r="D12" i="29"/>
  <c r="B13" i="29"/>
  <c r="F12" i="29"/>
  <c r="J11" i="29"/>
  <c r="F10" i="8"/>
  <c r="H10" i="8"/>
  <c r="D10" i="8"/>
  <c r="J9" i="8"/>
  <c r="E40" i="2" l="1"/>
  <c r="M11" i="28"/>
  <c r="N11" i="28" s="1"/>
  <c r="N12" i="28" s="1"/>
  <c r="E53" i="2" s="1"/>
  <c r="L11" i="28"/>
  <c r="L12" i="28" s="1"/>
  <c r="D13" i="28"/>
  <c r="B14" i="28"/>
  <c r="H13" i="28"/>
  <c r="F13" i="28"/>
  <c r="N11" i="33"/>
  <c r="M12" i="31"/>
  <c r="N12" i="31" s="1"/>
  <c r="H53" i="2" s="1"/>
  <c r="H40" i="2"/>
  <c r="K10" i="8"/>
  <c r="K12" i="32"/>
  <c r="K12" i="30"/>
  <c r="K12" i="29"/>
  <c r="K13" i="31"/>
  <c r="M13" i="31" s="1"/>
  <c r="K13" i="34"/>
  <c r="M13" i="34" s="1"/>
  <c r="K12" i="33"/>
  <c r="J40" i="2" s="1"/>
  <c r="N11" i="29"/>
  <c r="J12" i="32"/>
  <c r="E14" i="32"/>
  <c r="N12" i="34"/>
  <c r="K53" i="2" s="1"/>
  <c r="L11" i="33"/>
  <c r="L11" i="32"/>
  <c r="N11" i="32"/>
  <c r="N11" i="30"/>
  <c r="J12" i="29"/>
  <c r="L11" i="30"/>
  <c r="J13" i="31"/>
  <c r="J13" i="34"/>
  <c r="D14" i="34"/>
  <c r="B15" i="34"/>
  <c r="F14" i="34"/>
  <c r="H14" i="34"/>
  <c r="L12" i="34"/>
  <c r="D14" i="33"/>
  <c r="B15" i="33"/>
  <c r="F14" i="33"/>
  <c r="H13" i="33"/>
  <c r="K13" i="33" s="1"/>
  <c r="D13" i="32"/>
  <c r="B14" i="32"/>
  <c r="H14" i="32" s="1"/>
  <c r="F13" i="32"/>
  <c r="B15" i="31"/>
  <c r="F14" i="31"/>
  <c r="D14" i="31"/>
  <c r="H14" i="31"/>
  <c r="L12" i="31"/>
  <c r="H13" i="30"/>
  <c r="J12" i="30"/>
  <c r="F13" i="30"/>
  <c r="D13" i="30"/>
  <c r="B14" i="30"/>
  <c r="D13" i="29"/>
  <c r="B14" i="29"/>
  <c r="F13" i="29"/>
  <c r="H13" i="29"/>
  <c r="L11" i="29"/>
  <c r="M9" i="8"/>
  <c r="N9" i="8" s="1"/>
  <c r="F11" i="8"/>
  <c r="H11" i="8"/>
  <c r="D11" i="8"/>
  <c r="L9" i="8"/>
  <c r="J10" i="8"/>
  <c r="J13" i="28" l="1"/>
  <c r="K13" i="28"/>
  <c r="F14" i="28"/>
  <c r="D14" i="28"/>
  <c r="J14" i="28" s="1"/>
  <c r="H14" i="28"/>
  <c r="B15" i="28"/>
  <c r="M12" i="29"/>
  <c r="N12" i="29" s="1"/>
  <c r="F53" i="2" s="1"/>
  <c r="F40" i="2"/>
  <c r="M12" i="32"/>
  <c r="N12" i="32" s="1"/>
  <c r="I53" i="2" s="1"/>
  <c r="I40" i="2"/>
  <c r="M12" i="30"/>
  <c r="G40" i="2"/>
  <c r="L13" i="31"/>
  <c r="J13" i="32"/>
  <c r="K13" i="29"/>
  <c r="M13" i="29" s="1"/>
  <c r="L12" i="29"/>
  <c r="K14" i="34"/>
  <c r="M14" i="34" s="1"/>
  <c r="K11" i="8"/>
  <c r="M11" i="8" s="1"/>
  <c r="K13" i="30"/>
  <c r="M13" i="30" s="1"/>
  <c r="K14" i="31"/>
  <c r="M14" i="31" s="1"/>
  <c r="K13" i="32"/>
  <c r="M13" i="32" s="1"/>
  <c r="N13" i="34"/>
  <c r="E15" i="32"/>
  <c r="N12" i="30"/>
  <c r="G53" i="2" s="1"/>
  <c r="N13" i="31"/>
  <c r="J14" i="31"/>
  <c r="J13" i="33"/>
  <c r="L13" i="34"/>
  <c r="J13" i="30"/>
  <c r="J14" i="34"/>
  <c r="L12" i="32"/>
  <c r="M12" i="33"/>
  <c r="L12" i="33"/>
  <c r="L13" i="33" s="1"/>
  <c r="H15" i="34"/>
  <c r="D15" i="34"/>
  <c r="F15" i="34"/>
  <c r="B16" i="34"/>
  <c r="M13" i="33"/>
  <c r="D15" i="33"/>
  <c r="B16" i="33"/>
  <c r="F15" i="33"/>
  <c r="H14" i="33"/>
  <c r="J14" i="33" s="1"/>
  <c r="D14" i="32"/>
  <c r="F14" i="32"/>
  <c r="B15" i="32"/>
  <c r="H15" i="32" s="1"/>
  <c r="D15" i="31"/>
  <c r="F15" i="31"/>
  <c r="B16" i="31"/>
  <c r="H15" i="31"/>
  <c r="L12" i="30"/>
  <c r="D14" i="30"/>
  <c r="B15" i="30"/>
  <c r="F14" i="30"/>
  <c r="H14" i="30"/>
  <c r="D14" i="29"/>
  <c r="B15" i="29"/>
  <c r="F14" i="29"/>
  <c r="H14" i="29"/>
  <c r="J13" i="29"/>
  <c r="M10" i="8"/>
  <c r="N10" i="8" s="1"/>
  <c r="F12" i="8"/>
  <c r="H12" i="8"/>
  <c r="D12" i="8"/>
  <c r="L10" i="8"/>
  <c r="J11" i="8"/>
  <c r="K14" i="28" l="1"/>
  <c r="M14" i="28" s="1"/>
  <c r="H15" i="28"/>
  <c r="D15" i="28"/>
  <c r="B16" i="28"/>
  <c r="F15" i="28"/>
  <c r="M13" i="28"/>
  <c r="N13" i="28" s="1"/>
  <c r="L13" i="28"/>
  <c r="L14" i="28" s="1"/>
  <c r="K12" i="8"/>
  <c r="D40" i="2" s="1"/>
  <c r="K14" i="30"/>
  <c r="M14" i="30" s="1"/>
  <c r="K14" i="32"/>
  <c r="M14" i="32" s="1"/>
  <c r="K14" i="33"/>
  <c r="M14" i="33" s="1"/>
  <c r="K14" i="29"/>
  <c r="M14" i="29" s="1"/>
  <c r="K15" i="34"/>
  <c r="M15" i="34" s="1"/>
  <c r="K15" i="31"/>
  <c r="M15" i="31" s="1"/>
  <c r="N13" i="29"/>
  <c r="J14" i="32"/>
  <c r="N14" i="34"/>
  <c r="E16" i="32"/>
  <c r="N13" i="30"/>
  <c r="N14" i="31"/>
  <c r="N12" i="33"/>
  <c r="J53" i="2" s="1"/>
  <c r="L13" i="30"/>
  <c r="N13" i="32"/>
  <c r="L13" i="32"/>
  <c r="L14" i="34"/>
  <c r="J14" i="29"/>
  <c r="J15" i="34"/>
  <c r="L14" i="31"/>
  <c r="D16" i="34"/>
  <c r="F16" i="34"/>
  <c r="B17" i="34"/>
  <c r="H16" i="34"/>
  <c r="H15" i="33"/>
  <c r="K15" i="33" s="1"/>
  <c r="D16" i="33"/>
  <c r="B17" i="33"/>
  <c r="F16" i="33"/>
  <c r="D15" i="32"/>
  <c r="B16" i="32"/>
  <c r="H16" i="32" s="1"/>
  <c r="F15" i="32"/>
  <c r="F16" i="31"/>
  <c r="B17" i="31"/>
  <c r="D16" i="31"/>
  <c r="H16" i="31"/>
  <c r="J15" i="31"/>
  <c r="B16" i="30"/>
  <c r="F15" i="30"/>
  <c r="D15" i="30"/>
  <c r="H15" i="30"/>
  <c r="J14" i="30"/>
  <c r="D15" i="29"/>
  <c r="B16" i="29"/>
  <c r="F15" i="29"/>
  <c r="H15" i="29"/>
  <c r="L13" i="29"/>
  <c r="N11" i="8"/>
  <c r="L11" i="8"/>
  <c r="J12" i="8"/>
  <c r="K15" i="28" l="1"/>
  <c r="F16" i="28"/>
  <c r="B17" i="28"/>
  <c r="H16" i="28"/>
  <c r="D16" i="28"/>
  <c r="J15" i="28"/>
  <c r="N14" i="28"/>
  <c r="N14" i="29"/>
  <c r="K15" i="29"/>
  <c r="M15" i="29" s="1"/>
  <c r="K16" i="31"/>
  <c r="M16" i="31" s="1"/>
  <c r="K15" i="32"/>
  <c r="M15" i="32" s="1"/>
  <c r="M15" i="33"/>
  <c r="K16" i="34"/>
  <c r="M16" i="34" s="1"/>
  <c r="K15" i="30"/>
  <c r="M15" i="30" s="1"/>
  <c r="J15" i="32"/>
  <c r="N15" i="34"/>
  <c r="E17" i="32"/>
  <c r="L15" i="31"/>
  <c r="N13" i="33"/>
  <c r="N14" i="33" s="1"/>
  <c r="N15" i="31"/>
  <c r="N14" i="30"/>
  <c r="N14" i="32"/>
  <c r="J15" i="30"/>
  <c r="L14" i="29"/>
  <c r="J15" i="33"/>
  <c r="L15" i="34"/>
  <c r="L14" i="30"/>
  <c r="D17" i="34"/>
  <c r="B18" i="34"/>
  <c r="F17" i="34"/>
  <c r="H17" i="34"/>
  <c r="J16" i="34"/>
  <c r="D17" i="33"/>
  <c r="B18" i="33"/>
  <c r="F17" i="33"/>
  <c r="H16" i="33"/>
  <c r="L14" i="33"/>
  <c r="L15" i="33" s="1"/>
  <c r="D16" i="32"/>
  <c r="B17" i="32"/>
  <c r="H17" i="32" s="1"/>
  <c r="F16" i="32"/>
  <c r="L14" i="32"/>
  <c r="J16" i="31"/>
  <c r="D17" i="31"/>
  <c r="B18" i="31"/>
  <c r="F17" i="31"/>
  <c r="H17" i="31"/>
  <c r="H16" i="30"/>
  <c r="F16" i="30"/>
  <c r="D16" i="30"/>
  <c r="B17" i="30"/>
  <c r="D16" i="29"/>
  <c r="B17" i="29"/>
  <c r="F16" i="29"/>
  <c r="H16" i="29"/>
  <c r="J15" i="29"/>
  <c r="L12" i="8"/>
  <c r="M12" i="8"/>
  <c r="J16" i="28" l="1"/>
  <c r="M15" i="28"/>
  <c r="N15" i="28" s="1"/>
  <c r="L15" i="28"/>
  <c r="D17" i="28"/>
  <c r="F17" i="28"/>
  <c r="H17" i="28"/>
  <c r="B18" i="28"/>
  <c r="K16" i="28"/>
  <c r="N15" i="29"/>
  <c r="K16" i="30"/>
  <c r="M16" i="30" s="1"/>
  <c r="N15" i="33"/>
  <c r="K16" i="29"/>
  <c r="M16" i="29" s="1"/>
  <c r="K16" i="32"/>
  <c r="M16" i="32" s="1"/>
  <c r="K17" i="34"/>
  <c r="K17" i="31"/>
  <c r="K16" i="33"/>
  <c r="L16" i="33" s="1"/>
  <c r="J16" i="32"/>
  <c r="N16" i="34"/>
  <c r="E18" i="32"/>
  <c r="F13" i="8"/>
  <c r="H13" i="8"/>
  <c r="D13" i="8"/>
  <c r="N15" i="30"/>
  <c r="N15" i="32"/>
  <c r="N16" i="31"/>
  <c r="J16" i="29"/>
  <c r="J17" i="31"/>
  <c r="L15" i="32"/>
  <c r="L15" i="30"/>
  <c r="L16" i="34"/>
  <c r="D18" i="34"/>
  <c r="B19" i="34"/>
  <c r="F18" i="34"/>
  <c r="H18" i="34"/>
  <c r="J17" i="34"/>
  <c r="J16" i="33"/>
  <c r="D18" i="33"/>
  <c r="B19" i="33"/>
  <c r="F18" i="33"/>
  <c r="H17" i="33"/>
  <c r="J17" i="33" s="1"/>
  <c r="D17" i="32"/>
  <c r="B18" i="32"/>
  <c r="H18" i="32" s="1"/>
  <c r="F17" i="32"/>
  <c r="L16" i="31"/>
  <c r="B19" i="31"/>
  <c r="F18" i="31"/>
  <c r="D18" i="31"/>
  <c r="H18" i="31"/>
  <c r="F17" i="30"/>
  <c r="D17" i="30"/>
  <c r="B18" i="30"/>
  <c r="J16" i="30"/>
  <c r="H17" i="30"/>
  <c r="D17" i="29"/>
  <c r="B18" i="29"/>
  <c r="F17" i="29"/>
  <c r="H17" i="29"/>
  <c r="L15" i="29"/>
  <c r="N12" i="8"/>
  <c r="D53" i="2" s="1"/>
  <c r="D18" i="28" l="1"/>
  <c r="B19" i="28"/>
  <c r="F18" i="28"/>
  <c r="H18" i="28"/>
  <c r="K17" i="28"/>
  <c r="M16" i="28"/>
  <c r="N16" i="28" s="1"/>
  <c r="L16" i="28"/>
  <c r="J17" i="28"/>
  <c r="M17" i="34"/>
  <c r="N17" i="34" s="1"/>
  <c r="K54" i="2" s="1"/>
  <c r="K41" i="2"/>
  <c r="M17" i="31"/>
  <c r="N17" i="31" s="1"/>
  <c r="H54" i="2" s="1"/>
  <c r="H41" i="2"/>
  <c r="N16" i="29"/>
  <c r="K17" i="29"/>
  <c r="K17" i="33"/>
  <c r="K13" i="8"/>
  <c r="K17" i="30"/>
  <c r="K18" i="31"/>
  <c r="M18" i="31" s="1"/>
  <c r="M16" i="33"/>
  <c r="N16" i="33" s="1"/>
  <c r="K17" i="32"/>
  <c r="K18" i="34"/>
  <c r="M18" i="34" s="1"/>
  <c r="J17" i="32"/>
  <c r="J13" i="8"/>
  <c r="N16" i="30"/>
  <c r="E19" i="32"/>
  <c r="N16" i="32"/>
  <c r="L16" i="29"/>
  <c r="L17" i="31"/>
  <c r="J18" i="31"/>
  <c r="J17" i="30"/>
  <c r="J18" i="34"/>
  <c r="L16" i="32"/>
  <c r="D19" i="34"/>
  <c r="F19" i="34"/>
  <c r="B20" i="34"/>
  <c r="H19" i="34"/>
  <c r="L17" i="34"/>
  <c r="H18" i="33"/>
  <c r="D19" i="33"/>
  <c r="B20" i="33"/>
  <c r="F19" i="33"/>
  <c r="D18" i="32"/>
  <c r="F18" i="32"/>
  <c r="B19" i="32"/>
  <c r="H19" i="32" s="1"/>
  <c r="D19" i="31"/>
  <c r="F19" i="31"/>
  <c r="B20" i="31"/>
  <c r="H19" i="31"/>
  <c r="H18" i="30"/>
  <c r="D18" i="30"/>
  <c r="B19" i="30"/>
  <c r="F18" i="30"/>
  <c r="L16" i="30"/>
  <c r="D18" i="29"/>
  <c r="B19" i="29"/>
  <c r="F18" i="29"/>
  <c r="H18" i="29"/>
  <c r="J17" i="29"/>
  <c r="L17" i="28" l="1"/>
  <c r="D19" i="28"/>
  <c r="F19" i="28"/>
  <c r="H19" i="28"/>
  <c r="B20" i="28"/>
  <c r="K18" i="28"/>
  <c r="M18" i="28" s="1"/>
  <c r="M17" i="28"/>
  <c r="N17" i="28" s="1"/>
  <c r="E54" i="2" s="1"/>
  <c r="E41" i="2"/>
  <c r="J18" i="28"/>
  <c r="M17" i="33"/>
  <c r="J41" i="2"/>
  <c r="M17" i="29"/>
  <c r="N17" i="29" s="1"/>
  <c r="F54" i="2" s="1"/>
  <c r="F41" i="2"/>
  <c r="M17" i="32"/>
  <c r="I41" i="2"/>
  <c r="M17" i="30"/>
  <c r="N17" i="30" s="1"/>
  <c r="G54" i="2" s="1"/>
  <c r="G41" i="2"/>
  <c r="K19" i="34"/>
  <c r="M19" i="34" s="1"/>
  <c r="K19" i="31"/>
  <c r="M19" i="31" s="1"/>
  <c r="K18" i="29"/>
  <c r="M18" i="29" s="1"/>
  <c r="L17" i="30"/>
  <c r="K18" i="30"/>
  <c r="M18" i="30" s="1"/>
  <c r="K18" i="32"/>
  <c r="M18" i="32" s="1"/>
  <c r="K18" i="33"/>
  <c r="M18" i="33" s="1"/>
  <c r="J18" i="32"/>
  <c r="E20" i="32"/>
  <c r="M13" i="8"/>
  <c r="N13" i="8" s="1"/>
  <c r="L13" i="8"/>
  <c r="N18" i="31"/>
  <c r="N17" i="32"/>
  <c r="I54" i="2" s="1"/>
  <c r="N17" i="33"/>
  <c r="J54" i="2" s="1"/>
  <c r="N18" i="34"/>
  <c r="J18" i="30"/>
  <c r="J18" i="33"/>
  <c r="J19" i="31"/>
  <c r="L18" i="34"/>
  <c r="J18" i="29"/>
  <c r="D20" i="34"/>
  <c r="F20" i="34"/>
  <c r="B21" i="34"/>
  <c r="H20" i="34"/>
  <c r="J19" i="34"/>
  <c r="H19" i="33"/>
  <c r="K19" i="33" s="1"/>
  <c r="D20" i="33"/>
  <c r="B21" i="33"/>
  <c r="F20" i="33"/>
  <c r="L17" i="33"/>
  <c r="D19" i="32"/>
  <c r="B20" i="32"/>
  <c r="H20" i="32" s="1"/>
  <c r="F19" i="32"/>
  <c r="L17" i="32"/>
  <c r="L18" i="31"/>
  <c r="F20" i="31"/>
  <c r="B21" i="31"/>
  <c r="D20" i="31"/>
  <c r="H20" i="31"/>
  <c r="B20" i="30"/>
  <c r="F19" i="30"/>
  <c r="D19" i="30"/>
  <c r="H19" i="30"/>
  <c r="D19" i="29"/>
  <c r="B20" i="29"/>
  <c r="F19" i="29"/>
  <c r="H19" i="29"/>
  <c r="L17" i="29"/>
  <c r="F18" i="8"/>
  <c r="H18" i="8"/>
  <c r="D18" i="8"/>
  <c r="K19" i="28" l="1"/>
  <c r="M19" i="28" s="1"/>
  <c r="N18" i="28"/>
  <c r="J19" i="28"/>
  <c r="B21" i="28"/>
  <c r="H20" i="28"/>
  <c r="D20" i="28"/>
  <c r="F20" i="28"/>
  <c r="L18" i="28"/>
  <c r="K20" i="31"/>
  <c r="M20" i="31" s="1"/>
  <c r="L18" i="33"/>
  <c r="L19" i="33" s="1"/>
  <c r="K19" i="30"/>
  <c r="M19" i="30" s="1"/>
  <c r="K19" i="32"/>
  <c r="M19" i="32" s="1"/>
  <c r="M19" i="33"/>
  <c r="K19" i="29"/>
  <c r="M19" i="29" s="1"/>
  <c r="K18" i="8"/>
  <c r="M18" i="8" s="1"/>
  <c r="K20" i="34"/>
  <c r="M20" i="34" s="1"/>
  <c r="N18" i="29"/>
  <c r="N18" i="33"/>
  <c r="N18" i="32"/>
  <c r="J19" i="32"/>
  <c r="E21" i="32"/>
  <c r="N18" i="30"/>
  <c r="N19" i="31"/>
  <c r="N19" i="34"/>
  <c r="L18" i="32"/>
  <c r="L18" i="29"/>
  <c r="J19" i="30"/>
  <c r="L19" i="31"/>
  <c r="D21" i="34"/>
  <c r="B22" i="34"/>
  <c r="F21" i="34"/>
  <c r="H21" i="34"/>
  <c r="J20" i="34"/>
  <c r="L19" i="34"/>
  <c r="D21" i="33"/>
  <c r="B22" i="33"/>
  <c r="F21" i="33"/>
  <c r="J19" i="33"/>
  <c r="H20" i="33"/>
  <c r="D20" i="32"/>
  <c r="B21" i="32"/>
  <c r="H21" i="32" s="1"/>
  <c r="F20" i="32"/>
  <c r="J20" i="31"/>
  <c r="D21" i="31"/>
  <c r="F21" i="31"/>
  <c r="B22" i="31"/>
  <c r="H21" i="31"/>
  <c r="F20" i="30"/>
  <c r="D20" i="30"/>
  <c r="B21" i="30"/>
  <c r="H20" i="30"/>
  <c r="L18" i="30"/>
  <c r="D20" i="29"/>
  <c r="B21" i="29"/>
  <c r="F20" i="29"/>
  <c r="H20" i="29"/>
  <c r="J19" i="29"/>
  <c r="F19" i="8"/>
  <c r="H19" i="8"/>
  <c r="D19" i="8"/>
  <c r="L19" i="28" l="1"/>
  <c r="N19" i="28"/>
  <c r="B22" i="28"/>
  <c r="F21" i="28"/>
  <c r="H21" i="28"/>
  <c r="D21" i="28"/>
  <c r="J21" i="28" s="1"/>
  <c r="K20" i="28"/>
  <c r="J20" i="28"/>
  <c r="N19" i="33"/>
  <c r="K21" i="31"/>
  <c r="M21" i="31" s="1"/>
  <c r="K20" i="32"/>
  <c r="M20" i="32" s="1"/>
  <c r="K21" i="34"/>
  <c r="M21" i="34" s="1"/>
  <c r="K19" i="8"/>
  <c r="M19" i="8" s="1"/>
  <c r="K20" i="30"/>
  <c r="M20" i="30" s="1"/>
  <c r="K20" i="29"/>
  <c r="M20" i="29" s="1"/>
  <c r="K20" i="33"/>
  <c r="M20" i="33" s="1"/>
  <c r="N19" i="32"/>
  <c r="N19" i="29"/>
  <c r="J20" i="32"/>
  <c r="L20" i="34"/>
  <c r="E22" i="32"/>
  <c r="N20" i="31"/>
  <c r="N20" i="34"/>
  <c r="N19" i="30"/>
  <c r="L19" i="30"/>
  <c r="L19" i="32"/>
  <c r="J21" i="31"/>
  <c r="J20" i="29"/>
  <c r="D22" i="34"/>
  <c r="B23" i="34"/>
  <c r="F22" i="34"/>
  <c r="H22" i="34"/>
  <c r="J21" i="34"/>
  <c r="D22" i="33"/>
  <c r="B23" i="33"/>
  <c r="F22" i="33"/>
  <c r="J20" i="33"/>
  <c r="H21" i="33"/>
  <c r="J21" i="33" s="1"/>
  <c r="D21" i="32"/>
  <c r="B22" i="32"/>
  <c r="H22" i="32" s="1"/>
  <c r="F21" i="32"/>
  <c r="B23" i="31"/>
  <c r="F22" i="31"/>
  <c r="D22" i="31"/>
  <c r="H22" i="31"/>
  <c r="L20" i="31"/>
  <c r="F21" i="30"/>
  <c r="D21" i="30"/>
  <c r="B22" i="30"/>
  <c r="J20" i="30"/>
  <c r="H21" i="30"/>
  <c r="D21" i="29"/>
  <c r="B22" i="29"/>
  <c r="F21" i="29"/>
  <c r="H21" i="29"/>
  <c r="L19" i="29"/>
  <c r="F20" i="8"/>
  <c r="H20" i="8"/>
  <c r="J18" i="8"/>
  <c r="D20" i="8"/>
  <c r="K21" i="28" l="1"/>
  <c r="M21" i="28" s="1"/>
  <c r="M20" i="28"/>
  <c r="N20" i="28" s="1"/>
  <c r="L20" i="28"/>
  <c r="H22" i="28"/>
  <c r="D22" i="28"/>
  <c r="B23" i="28"/>
  <c r="F22" i="28"/>
  <c r="N20" i="33"/>
  <c r="K21" i="29"/>
  <c r="M21" i="29" s="1"/>
  <c r="K21" i="32"/>
  <c r="M21" i="32" s="1"/>
  <c r="L20" i="33"/>
  <c r="K22" i="34"/>
  <c r="K20" i="8"/>
  <c r="M20" i="8" s="1"/>
  <c r="K21" i="30"/>
  <c r="M21" i="30" s="1"/>
  <c r="K21" i="33"/>
  <c r="M21" i="33" s="1"/>
  <c r="K22" i="31"/>
  <c r="N20" i="32"/>
  <c r="N20" i="29"/>
  <c r="J21" i="32"/>
  <c r="E23" i="32"/>
  <c r="E24" i="32" s="1"/>
  <c r="E25" i="32" s="1"/>
  <c r="E26" i="32" s="1"/>
  <c r="E27" i="32" s="1"/>
  <c r="E28" i="32" s="1"/>
  <c r="E29" i="32" s="1"/>
  <c r="E30" i="32" s="1"/>
  <c r="E31" i="32" s="1"/>
  <c r="E32" i="32" s="1"/>
  <c r="N21" i="31"/>
  <c r="N21" i="34"/>
  <c r="N20" i="30"/>
  <c r="L20" i="32"/>
  <c r="L21" i="31"/>
  <c r="L20" i="29"/>
  <c r="J22" i="34"/>
  <c r="D23" i="34"/>
  <c r="F23" i="34"/>
  <c r="B24" i="34"/>
  <c r="H23" i="34"/>
  <c r="L21" i="34"/>
  <c r="D23" i="33"/>
  <c r="B24" i="33"/>
  <c r="F23" i="33"/>
  <c r="H22" i="33"/>
  <c r="D22" i="32"/>
  <c r="F22" i="32"/>
  <c r="B23" i="32"/>
  <c r="H23" i="32" s="1"/>
  <c r="D23" i="31"/>
  <c r="F23" i="31"/>
  <c r="B24" i="31"/>
  <c r="H23" i="31"/>
  <c r="J22" i="31"/>
  <c r="D22" i="30"/>
  <c r="B23" i="30"/>
  <c r="F22" i="30"/>
  <c r="H22" i="30"/>
  <c r="J21" i="30"/>
  <c r="L20" i="30"/>
  <c r="D22" i="29"/>
  <c r="B23" i="29"/>
  <c r="F22" i="29"/>
  <c r="H22" i="29"/>
  <c r="J21" i="29"/>
  <c r="F21" i="8"/>
  <c r="H21" i="8"/>
  <c r="J19" i="8"/>
  <c r="D21" i="8"/>
  <c r="L21" i="28" l="1"/>
  <c r="N21" i="33"/>
  <c r="K22" i="28"/>
  <c r="F23" i="28"/>
  <c r="H23" i="28"/>
  <c r="D23" i="28"/>
  <c r="B24" i="28"/>
  <c r="J22" i="28"/>
  <c r="N21" i="28"/>
  <c r="M22" i="34"/>
  <c r="N22" i="34" s="1"/>
  <c r="K55" i="2" s="1"/>
  <c r="K42" i="2"/>
  <c r="M22" i="31"/>
  <c r="N22" i="31" s="1"/>
  <c r="H55" i="2" s="1"/>
  <c r="H42" i="2"/>
  <c r="K22" i="32"/>
  <c r="K23" i="34"/>
  <c r="M23" i="34" s="1"/>
  <c r="N21" i="32"/>
  <c r="K22" i="30"/>
  <c r="K23" i="31"/>
  <c r="M23" i="31" s="1"/>
  <c r="K21" i="8"/>
  <c r="M21" i="8" s="1"/>
  <c r="K22" i="33"/>
  <c r="K22" i="29"/>
  <c r="N21" i="29"/>
  <c r="J22" i="32"/>
  <c r="N21" i="30"/>
  <c r="L22" i="34"/>
  <c r="J22" i="29"/>
  <c r="L21" i="32"/>
  <c r="L21" i="33"/>
  <c r="D24" i="34"/>
  <c r="F24" i="34"/>
  <c r="B25" i="34"/>
  <c r="H24" i="34"/>
  <c r="J23" i="34"/>
  <c r="H23" i="33"/>
  <c r="J23" i="33" s="1"/>
  <c r="D24" i="33"/>
  <c r="B25" i="33"/>
  <c r="F24" i="33"/>
  <c r="J22" i="33"/>
  <c r="D23" i="32"/>
  <c r="B24" i="32"/>
  <c r="H24" i="32" s="1"/>
  <c r="F23" i="32"/>
  <c r="L22" i="31"/>
  <c r="F24" i="31"/>
  <c r="B25" i="31"/>
  <c r="D24" i="31"/>
  <c r="H24" i="31"/>
  <c r="J23" i="31"/>
  <c r="B24" i="30"/>
  <c r="F23" i="30"/>
  <c r="D23" i="30"/>
  <c r="H23" i="30"/>
  <c r="L21" i="30"/>
  <c r="J22" i="30"/>
  <c r="D23" i="29"/>
  <c r="B24" i="29"/>
  <c r="F23" i="29"/>
  <c r="L21" i="29"/>
  <c r="H23" i="29"/>
  <c r="F22" i="8"/>
  <c r="H22" i="8"/>
  <c r="J20" i="8"/>
  <c r="D22" i="8"/>
  <c r="K23" i="28" l="1"/>
  <c r="M23" i="28" s="1"/>
  <c r="F24" i="28"/>
  <c r="H24" i="28"/>
  <c r="D24" i="28"/>
  <c r="J24" i="28" s="1"/>
  <c r="B25" i="28"/>
  <c r="E42" i="2"/>
  <c r="M22" i="28"/>
  <c r="N22" i="28" s="1"/>
  <c r="E55" i="2" s="1"/>
  <c r="J23" i="28"/>
  <c r="L22" i="28"/>
  <c r="L23" i="28" s="1"/>
  <c r="M22" i="33"/>
  <c r="N22" i="33" s="1"/>
  <c r="J55" i="2" s="1"/>
  <c r="J42" i="2"/>
  <c r="M22" i="29"/>
  <c r="N22" i="29" s="1"/>
  <c r="F55" i="2" s="1"/>
  <c r="F42" i="2"/>
  <c r="M22" i="30"/>
  <c r="G42" i="2"/>
  <c r="M22" i="32"/>
  <c r="N22" i="32" s="1"/>
  <c r="I55" i="2" s="1"/>
  <c r="I42" i="2"/>
  <c r="K24" i="34"/>
  <c r="M24" i="34" s="1"/>
  <c r="K24" i="31"/>
  <c r="M24" i="31" s="1"/>
  <c r="K23" i="29"/>
  <c r="M23" i="29" s="1"/>
  <c r="K23" i="30"/>
  <c r="M23" i="30" s="1"/>
  <c r="K22" i="8"/>
  <c r="D42" i="2" s="1"/>
  <c r="K23" i="32"/>
  <c r="M23" i="32" s="1"/>
  <c r="K23" i="33"/>
  <c r="M23" i="33" s="1"/>
  <c r="L22" i="33"/>
  <c r="J23" i="32"/>
  <c r="N23" i="34"/>
  <c r="N22" i="30"/>
  <c r="G55" i="2" s="1"/>
  <c r="N23" i="31"/>
  <c r="L22" i="30"/>
  <c r="L22" i="29"/>
  <c r="J23" i="30"/>
  <c r="D25" i="34"/>
  <c r="B26" i="34"/>
  <c r="F25" i="34"/>
  <c r="H25" i="34"/>
  <c r="J24" i="34"/>
  <c r="L23" i="34"/>
  <c r="D25" i="33"/>
  <c r="B26" i="33"/>
  <c r="F25" i="33"/>
  <c r="H24" i="33"/>
  <c r="K24" i="33" s="1"/>
  <c r="D24" i="32"/>
  <c r="B25" i="32"/>
  <c r="H25" i="32" s="1"/>
  <c r="F24" i="32"/>
  <c r="L22" i="32"/>
  <c r="D25" i="31"/>
  <c r="B26" i="31"/>
  <c r="F25" i="31"/>
  <c r="H25" i="31"/>
  <c r="L23" i="31"/>
  <c r="J24" i="31"/>
  <c r="F24" i="30"/>
  <c r="D24" i="30"/>
  <c r="B25" i="30"/>
  <c r="H24" i="30"/>
  <c r="H24" i="29"/>
  <c r="D24" i="29"/>
  <c r="B25" i="29"/>
  <c r="F24" i="29"/>
  <c r="J23" i="29"/>
  <c r="F23" i="8"/>
  <c r="H23" i="8"/>
  <c r="J21" i="8"/>
  <c r="D23" i="8"/>
  <c r="K24" i="28" l="1"/>
  <c r="B26" i="28"/>
  <c r="H25" i="28"/>
  <c r="F25" i="28"/>
  <c r="K25" i="28" s="1"/>
  <c r="M25" i="28" s="1"/>
  <c r="D25" i="28"/>
  <c r="N23" i="28"/>
  <c r="N23" i="33"/>
  <c r="K24" i="30"/>
  <c r="M24" i="30" s="1"/>
  <c r="K24" i="32"/>
  <c r="M24" i="32" s="1"/>
  <c r="K25" i="34"/>
  <c r="M25" i="34" s="1"/>
  <c r="K23" i="8"/>
  <c r="M23" i="8" s="1"/>
  <c r="K24" i="29"/>
  <c r="K25" i="31"/>
  <c r="M25" i="31" s="1"/>
  <c r="N24" i="31"/>
  <c r="J24" i="32"/>
  <c r="N24" i="34"/>
  <c r="N23" i="29"/>
  <c r="N23" i="32"/>
  <c r="N23" i="30"/>
  <c r="J24" i="33"/>
  <c r="L23" i="33"/>
  <c r="L24" i="33" s="1"/>
  <c r="L23" i="32"/>
  <c r="L23" i="30"/>
  <c r="L24" i="34"/>
  <c r="J24" i="29"/>
  <c r="J24" i="30"/>
  <c r="L24" i="31"/>
  <c r="J25" i="31"/>
  <c r="L23" i="29"/>
  <c r="D26" i="34"/>
  <c r="B27" i="34"/>
  <c r="F26" i="34"/>
  <c r="H26" i="34"/>
  <c r="J25" i="34"/>
  <c r="M24" i="33"/>
  <c r="N24" i="33" s="1"/>
  <c r="D26" i="33"/>
  <c r="B27" i="33"/>
  <c r="F26" i="33"/>
  <c r="H25" i="33"/>
  <c r="D25" i="32"/>
  <c r="B26" i="32"/>
  <c r="H26" i="32" s="1"/>
  <c r="F25" i="32"/>
  <c r="B27" i="31"/>
  <c r="F26" i="31"/>
  <c r="D26" i="31"/>
  <c r="H26" i="31"/>
  <c r="H25" i="30"/>
  <c r="F25" i="30"/>
  <c r="D25" i="30"/>
  <c r="B26" i="30"/>
  <c r="H25" i="29"/>
  <c r="D25" i="29"/>
  <c r="B26" i="29"/>
  <c r="F25" i="29"/>
  <c r="M22" i="8"/>
  <c r="F24" i="8"/>
  <c r="H24" i="8"/>
  <c r="J22" i="8"/>
  <c r="D24" i="8"/>
  <c r="H26" i="28" l="1"/>
  <c r="F26" i="28"/>
  <c r="D26" i="28"/>
  <c r="J26" i="28" s="1"/>
  <c r="B27" i="28"/>
  <c r="J25" i="28"/>
  <c r="M24" i="28"/>
  <c r="N24" i="28" s="1"/>
  <c r="N25" i="28" s="1"/>
  <c r="L24" i="28"/>
  <c r="L25" i="28" s="1"/>
  <c r="N25" i="34"/>
  <c r="K25" i="32"/>
  <c r="M25" i="32" s="1"/>
  <c r="K26" i="34"/>
  <c r="M26" i="34" s="1"/>
  <c r="K25" i="29"/>
  <c r="M25" i="29" s="1"/>
  <c r="K24" i="8"/>
  <c r="M24" i="8" s="1"/>
  <c r="K26" i="31"/>
  <c r="M26" i="31" s="1"/>
  <c r="K25" i="33"/>
  <c r="M25" i="33" s="1"/>
  <c r="N25" i="33" s="1"/>
  <c r="K25" i="30"/>
  <c r="M25" i="30" s="1"/>
  <c r="N25" i="31"/>
  <c r="J25" i="32"/>
  <c r="H15" i="8"/>
  <c r="D15" i="8"/>
  <c r="F15" i="8"/>
  <c r="N24" i="30"/>
  <c r="N24" i="32"/>
  <c r="J25" i="33"/>
  <c r="J25" i="30"/>
  <c r="J26" i="34"/>
  <c r="J25" i="29"/>
  <c r="L25" i="31"/>
  <c r="D27" i="34"/>
  <c r="F27" i="34"/>
  <c r="B28" i="34"/>
  <c r="H27" i="34"/>
  <c r="L25" i="34"/>
  <c r="D27" i="33"/>
  <c r="B28" i="33"/>
  <c r="F27" i="33"/>
  <c r="H26" i="33"/>
  <c r="J26" i="33" s="1"/>
  <c r="D26" i="32"/>
  <c r="B27" i="32"/>
  <c r="H27" i="32" s="1"/>
  <c r="F26" i="32"/>
  <c r="L24" i="32"/>
  <c r="F27" i="31"/>
  <c r="D27" i="31"/>
  <c r="B28" i="31"/>
  <c r="H27" i="31"/>
  <c r="J26" i="31"/>
  <c r="D26" i="30"/>
  <c r="B27" i="30"/>
  <c r="F26" i="30"/>
  <c r="L24" i="30"/>
  <c r="H26" i="30"/>
  <c r="M24" i="29"/>
  <c r="N24" i="29" s="1"/>
  <c r="L24" i="29"/>
  <c r="H26" i="29"/>
  <c r="D26" i="29"/>
  <c r="B27" i="29"/>
  <c r="F26" i="29"/>
  <c r="F25" i="8"/>
  <c r="H25" i="8"/>
  <c r="J23" i="8"/>
  <c r="D25" i="8"/>
  <c r="K26" i="28" l="1"/>
  <c r="M26" i="28" s="1"/>
  <c r="N26" i="28" s="1"/>
  <c r="H27" i="28"/>
  <c r="D27" i="28"/>
  <c r="J27" i="28" s="1"/>
  <c r="B28" i="28"/>
  <c r="F27" i="28"/>
  <c r="N26" i="34"/>
  <c r="N26" i="31"/>
  <c r="K27" i="34"/>
  <c r="N25" i="30"/>
  <c r="K26" i="30"/>
  <c r="M26" i="30" s="1"/>
  <c r="L25" i="33"/>
  <c r="K25" i="8"/>
  <c r="M25" i="8" s="1"/>
  <c r="K26" i="29"/>
  <c r="M26" i="29" s="1"/>
  <c r="K27" i="31"/>
  <c r="K15" i="8"/>
  <c r="M15" i="8" s="1"/>
  <c r="K26" i="33"/>
  <c r="M26" i="33" s="1"/>
  <c r="N26" i="33" s="1"/>
  <c r="K26" i="32"/>
  <c r="M26" i="32" s="1"/>
  <c r="J26" i="32"/>
  <c r="L25" i="32"/>
  <c r="J15" i="8"/>
  <c r="N25" i="32"/>
  <c r="J27" i="31"/>
  <c r="L25" i="30"/>
  <c r="N25" i="29"/>
  <c r="L26" i="34"/>
  <c r="D28" i="34"/>
  <c r="F28" i="34"/>
  <c r="B29" i="34"/>
  <c r="H28" i="34"/>
  <c r="J27" i="34"/>
  <c r="D28" i="33"/>
  <c r="B29" i="33"/>
  <c r="F28" i="33"/>
  <c r="H27" i="33"/>
  <c r="D27" i="32"/>
  <c r="B28" i="32"/>
  <c r="H28" i="32" s="1"/>
  <c r="F27" i="32"/>
  <c r="L26" i="31"/>
  <c r="F28" i="31"/>
  <c r="D28" i="31"/>
  <c r="B29" i="31"/>
  <c r="H28" i="31"/>
  <c r="B28" i="30"/>
  <c r="F27" i="30"/>
  <c r="D27" i="30"/>
  <c r="H27" i="30"/>
  <c r="J26" i="30"/>
  <c r="J26" i="29"/>
  <c r="L25" i="29"/>
  <c r="D27" i="29"/>
  <c r="B28" i="29"/>
  <c r="F27" i="29"/>
  <c r="H27" i="29"/>
  <c r="F26" i="8"/>
  <c r="H26" i="8"/>
  <c r="J24" i="8"/>
  <c r="D26" i="8"/>
  <c r="K27" i="28" l="1"/>
  <c r="H28" i="28"/>
  <c r="B29" i="28"/>
  <c r="D28" i="28"/>
  <c r="J28" i="28" s="1"/>
  <c r="F28" i="28"/>
  <c r="L26" i="28"/>
  <c r="M27" i="31"/>
  <c r="N27" i="31" s="1"/>
  <c r="H56" i="2" s="1"/>
  <c r="H43" i="2"/>
  <c r="M27" i="34"/>
  <c r="N27" i="34" s="1"/>
  <c r="K56" i="2" s="1"/>
  <c r="K43" i="2"/>
  <c r="K28" i="34"/>
  <c r="M28" i="34" s="1"/>
  <c r="N26" i="30"/>
  <c r="K26" i="8"/>
  <c r="M26" i="8" s="1"/>
  <c r="K27" i="29"/>
  <c r="K27" i="30"/>
  <c r="G43" i="2" s="1"/>
  <c r="K27" i="32"/>
  <c r="I43" i="2" s="1"/>
  <c r="K28" i="31"/>
  <c r="M28" i="31" s="1"/>
  <c r="K27" i="33"/>
  <c r="J27" i="32"/>
  <c r="L26" i="29"/>
  <c r="N26" i="32"/>
  <c r="J28" i="31"/>
  <c r="J27" i="33"/>
  <c r="L26" i="32"/>
  <c r="L26" i="30"/>
  <c r="N26" i="29"/>
  <c r="J27" i="30"/>
  <c r="L27" i="31"/>
  <c r="J27" i="29"/>
  <c r="D29" i="34"/>
  <c r="B30" i="34"/>
  <c r="F29" i="34"/>
  <c r="H29" i="34"/>
  <c r="J28" i="34"/>
  <c r="L27" i="34"/>
  <c r="H28" i="33"/>
  <c r="J28" i="33" s="1"/>
  <c r="D29" i="33"/>
  <c r="B30" i="33"/>
  <c r="F29" i="33"/>
  <c r="L26" i="33"/>
  <c r="D28" i="32"/>
  <c r="F28" i="32"/>
  <c r="B29" i="32"/>
  <c r="H29" i="32" s="1"/>
  <c r="D29" i="31"/>
  <c r="B30" i="31"/>
  <c r="F29" i="31"/>
  <c r="H29" i="31"/>
  <c r="H28" i="30"/>
  <c r="F28" i="30"/>
  <c r="D28" i="30"/>
  <c r="B29" i="30"/>
  <c r="D28" i="29"/>
  <c r="B29" i="29"/>
  <c r="F28" i="29"/>
  <c r="H28" i="29"/>
  <c r="J25" i="8"/>
  <c r="L27" i="28" l="1"/>
  <c r="D29" i="28"/>
  <c r="B30" i="28"/>
  <c r="H29" i="28"/>
  <c r="F29" i="28"/>
  <c r="K28" i="28"/>
  <c r="E43" i="2"/>
  <c r="M27" i="28"/>
  <c r="N27" i="28" s="1"/>
  <c r="E56" i="2" s="1"/>
  <c r="M27" i="29"/>
  <c r="F43" i="2"/>
  <c r="M27" i="33"/>
  <c r="N27" i="33" s="1"/>
  <c r="J56" i="2" s="1"/>
  <c r="J43" i="2"/>
  <c r="L27" i="33"/>
  <c r="K28" i="33"/>
  <c r="M28" i="33" s="1"/>
  <c r="K28" i="30"/>
  <c r="M28" i="30" s="1"/>
  <c r="K29" i="31"/>
  <c r="M29" i="31" s="1"/>
  <c r="K28" i="32"/>
  <c r="M28" i="32" s="1"/>
  <c r="J28" i="32"/>
  <c r="K28" i="29"/>
  <c r="M28" i="29" s="1"/>
  <c r="K29" i="34"/>
  <c r="M29" i="34" s="1"/>
  <c r="N28" i="31"/>
  <c r="N28" i="34"/>
  <c r="L28" i="34"/>
  <c r="N27" i="29"/>
  <c r="F56" i="2" s="1"/>
  <c r="L27" i="29"/>
  <c r="L28" i="31"/>
  <c r="J28" i="30"/>
  <c r="D30" i="34"/>
  <c r="B31" i="34"/>
  <c r="F30" i="34"/>
  <c r="H30" i="34"/>
  <c r="J29" i="34"/>
  <c r="H29" i="33"/>
  <c r="J29" i="33" s="1"/>
  <c r="D30" i="33"/>
  <c r="B31" i="33"/>
  <c r="F30" i="33"/>
  <c r="M27" i="32"/>
  <c r="L27" i="32"/>
  <c r="D29" i="32"/>
  <c r="B30" i="32"/>
  <c r="H30" i="32" s="1"/>
  <c r="F29" i="32"/>
  <c r="B31" i="31"/>
  <c r="F30" i="31"/>
  <c r="D30" i="31"/>
  <c r="H30" i="31"/>
  <c r="J29" i="31"/>
  <c r="H29" i="30"/>
  <c r="F29" i="30"/>
  <c r="D29" i="30"/>
  <c r="B30" i="30"/>
  <c r="M27" i="30"/>
  <c r="L27" i="30"/>
  <c r="H29" i="29"/>
  <c r="D29" i="29"/>
  <c r="B30" i="29"/>
  <c r="F29" i="29"/>
  <c r="J28" i="29"/>
  <c r="J26" i="8"/>
  <c r="K29" i="28" l="1"/>
  <c r="M29" i="28" s="1"/>
  <c r="D30" i="28"/>
  <c r="F30" i="28"/>
  <c r="H30" i="28"/>
  <c r="B31" i="28"/>
  <c r="L28" i="28"/>
  <c r="M28" i="28"/>
  <c r="N28" i="28" s="1"/>
  <c r="J29" i="28"/>
  <c r="N28" i="33"/>
  <c r="N29" i="31"/>
  <c r="K29" i="33"/>
  <c r="M29" i="33" s="1"/>
  <c r="K29" i="32"/>
  <c r="M29" i="32" s="1"/>
  <c r="K30" i="31"/>
  <c r="M30" i="31" s="1"/>
  <c r="K29" i="29"/>
  <c r="M29" i="29" s="1"/>
  <c r="K29" i="30"/>
  <c r="M29" i="30" s="1"/>
  <c r="K30" i="34"/>
  <c r="M30" i="34" s="1"/>
  <c r="J29" i="32"/>
  <c r="N29" i="34"/>
  <c r="N27" i="30"/>
  <c r="G56" i="2" s="1"/>
  <c r="N27" i="32"/>
  <c r="I56" i="2" s="1"/>
  <c r="L28" i="32"/>
  <c r="L28" i="30"/>
  <c r="N28" i="29"/>
  <c r="L28" i="29"/>
  <c r="L28" i="33"/>
  <c r="J30" i="34"/>
  <c r="L29" i="31"/>
  <c r="J29" i="30"/>
  <c r="D31" i="34"/>
  <c r="F31" i="34"/>
  <c r="B32" i="34"/>
  <c r="H31" i="34"/>
  <c r="L29" i="34"/>
  <c r="H30" i="33"/>
  <c r="J30" i="33" s="1"/>
  <c r="D31" i="33"/>
  <c r="B32" i="33"/>
  <c r="F31" i="33"/>
  <c r="D30" i="32"/>
  <c r="F30" i="32"/>
  <c r="B31" i="32"/>
  <c r="H31" i="32" s="1"/>
  <c r="F31" i="31"/>
  <c r="D31" i="31"/>
  <c r="B32" i="31"/>
  <c r="H31" i="31"/>
  <c r="J30" i="31"/>
  <c r="D30" i="30"/>
  <c r="B31" i="30"/>
  <c r="F30" i="30"/>
  <c r="H30" i="30"/>
  <c r="D30" i="29"/>
  <c r="B31" i="29"/>
  <c r="F30" i="29"/>
  <c r="J29" i="29"/>
  <c r="H30" i="29"/>
  <c r="N29" i="28" l="1"/>
  <c r="L29" i="28"/>
  <c r="K30" i="28"/>
  <c r="H31" i="28"/>
  <c r="D31" i="28"/>
  <c r="F31" i="28"/>
  <c r="B32" i="28"/>
  <c r="J30" i="28"/>
  <c r="N29" i="33"/>
  <c r="N30" i="31"/>
  <c r="K31" i="34"/>
  <c r="M31" i="34" s="1"/>
  <c r="K30" i="29"/>
  <c r="M30" i="29" s="1"/>
  <c r="K30" i="30"/>
  <c r="M30" i="30" s="1"/>
  <c r="K30" i="33"/>
  <c r="M30" i="33" s="1"/>
  <c r="N30" i="33" s="1"/>
  <c r="K31" i="31"/>
  <c r="M31" i="31" s="1"/>
  <c r="K30" i="32"/>
  <c r="M30" i="32" s="1"/>
  <c r="J30" i="32"/>
  <c r="N30" i="34"/>
  <c r="N28" i="30"/>
  <c r="N29" i="30" s="1"/>
  <c r="N28" i="32"/>
  <c r="N29" i="32" s="1"/>
  <c r="N29" i="29"/>
  <c r="L29" i="32"/>
  <c r="L29" i="29"/>
  <c r="J30" i="29"/>
  <c r="J31" i="31"/>
  <c r="L30" i="34"/>
  <c r="D32" i="34"/>
  <c r="F32" i="34"/>
  <c r="H32" i="34"/>
  <c r="J31" i="34"/>
  <c r="D32" i="33"/>
  <c r="F32" i="33"/>
  <c r="L29" i="33"/>
  <c r="H31" i="33"/>
  <c r="H32" i="33"/>
  <c r="D31" i="32"/>
  <c r="B32" i="32"/>
  <c r="H32" i="32" s="1"/>
  <c r="F31" i="32"/>
  <c r="F32" i="31"/>
  <c r="D32" i="31"/>
  <c r="H32" i="31"/>
  <c r="L30" i="31"/>
  <c r="J30" i="30"/>
  <c r="H31" i="30"/>
  <c r="L29" i="30"/>
  <c r="B32" i="30"/>
  <c r="F31" i="30"/>
  <c r="D31" i="30"/>
  <c r="D31" i="29"/>
  <c r="B32" i="29"/>
  <c r="F31" i="29"/>
  <c r="H31" i="29"/>
  <c r="K31" i="28" l="1"/>
  <c r="M31" i="28" s="1"/>
  <c r="J31" i="28"/>
  <c r="D32" i="28"/>
  <c r="F32" i="28"/>
  <c r="H32" i="28"/>
  <c r="M30" i="28"/>
  <c r="N30" i="28" s="1"/>
  <c r="L30" i="28"/>
  <c r="K32" i="31"/>
  <c r="N31" i="31"/>
  <c r="J31" i="30"/>
  <c r="K32" i="34"/>
  <c r="K31" i="29"/>
  <c r="M31" i="29" s="1"/>
  <c r="K31" i="32"/>
  <c r="M31" i="32" s="1"/>
  <c r="K31" i="33"/>
  <c r="M31" i="33" s="1"/>
  <c r="N31" i="33" s="1"/>
  <c r="K31" i="30"/>
  <c r="M31" i="30" s="1"/>
  <c r="K32" i="33"/>
  <c r="J31" i="32"/>
  <c r="N30" i="30"/>
  <c r="N31" i="34"/>
  <c r="N30" i="32"/>
  <c r="N30" i="29"/>
  <c r="L30" i="29"/>
  <c r="L31" i="31"/>
  <c r="J32" i="33"/>
  <c r="L30" i="33"/>
  <c r="J32" i="34"/>
  <c r="J32" i="31"/>
  <c r="L31" i="34"/>
  <c r="J31" i="33"/>
  <c r="D32" i="32"/>
  <c r="F32" i="32"/>
  <c r="L30" i="32"/>
  <c r="L30" i="30"/>
  <c r="H32" i="30"/>
  <c r="F32" i="30"/>
  <c r="D32" i="30"/>
  <c r="D32" i="29"/>
  <c r="F32" i="29"/>
  <c r="H32" i="29"/>
  <c r="J31" i="29"/>
  <c r="D31" i="8"/>
  <c r="H31" i="8"/>
  <c r="F31" i="8"/>
  <c r="L31" i="28" l="1"/>
  <c r="N31" i="28"/>
  <c r="L31" i="33"/>
  <c r="K32" i="28"/>
  <c r="J32" i="28"/>
  <c r="M32" i="33"/>
  <c r="N32" i="33" s="1"/>
  <c r="J57" i="2" s="1"/>
  <c r="J44" i="2"/>
  <c r="M32" i="31"/>
  <c r="N32" i="31" s="1"/>
  <c r="H57" i="2" s="1"/>
  <c r="H44" i="2"/>
  <c r="M32" i="34"/>
  <c r="N32" i="34" s="1"/>
  <c r="K57" i="2" s="1"/>
  <c r="K44" i="2"/>
  <c r="N31" i="30"/>
  <c r="K32" i="32"/>
  <c r="K31" i="8"/>
  <c r="K32" i="30"/>
  <c r="K32" i="29"/>
  <c r="J32" i="32"/>
  <c r="N31" i="32"/>
  <c r="N31" i="29"/>
  <c r="L32" i="34"/>
  <c r="L31" i="29"/>
  <c r="L31" i="32"/>
  <c r="L32" i="33"/>
  <c r="L32" i="31"/>
  <c r="J32" i="30"/>
  <c r="L31" i="30"/>
  <c r="J32" i="29"/>
  <c r="J31" i="8"/>
  <c r="D32" i="8"/>
  <c r="H32" i="8"/>
  <c r="F32" i="8"/>
  <c r="M32" i="28" l="1"/>
  <c r="N32" i="28" s="1"/>
  <c r="E57" i="2" s="1"/>
  <c r="E44" i="2"/>
  <c r="L32" i="28"/>
  <c r="M32" i="32"/>
  <c r="N32" i="32" s="1"/>
  <c r="I57" i="2" s="1"/>
  <c r="I44" i="2"/>
  <c r="M32" i="29"/>
  <c r="N32" i="29" s="1"/>
  <c r="F57" i="2" s="1"/>
  <c r="F44" i="2"/>
  <c r="M32" i="30"/>
  <c r="N32" i="30" s="1"/>
  <c r="G57" i="2" s="1"/>
  <c r="G44" i="2"/>
  <c r="K32" i="8"/>
  <c r="D44" i="2" s="1"/>
  <c r="L32" i="32"/>
  <c r="L32" i="30"/>
  <c r="L32" i="29"/>
  <c r="M31" i="8"/>
  <c r="J32" i="8"/>
  <c r="M32" i="8" l="1"/>
  <c r="F17" i="8" l="1"/>
  <c r="D17" i="8"/>
  <c r="H17" i="8"/>
  <c r="K17" i="8" l="1"/>
  <c r="J17" i="8"/>
  <c r="M17" i="8" l="1"/>
  <c r="D41" i="2"/>
  <c r="D14" i="8"/>
  <c r="F14" i="8"/>
  <c r="H14" i="8"/>
  <c r="K14" i="8" l="1"/>
  <c r="J14" i="8"/>
  <c r="M14" i="8" l="1"/>
  <c r="N14" i="8" s="1"/>
  <c r="N15" i="8" s="1"/>
  <c r="L14" i="8"/>
  <c r="L15" i="8" s="1"/>
  <c r="H16" i="8"/>
  <c r="H28" i="8"/>
  <c r="H27" i="8"/>
  <c r="D28" i="8"/>
  <c r="H30" i="8"/>
  <c r="H29" i="8"/>
  <c r="D29" i="8"/>
  <c r="D30" i="8"/>
  <c r="D27" i="8"/>
  <c r="F28" i="8"/>
  <c r="F29" i="8"/>
  <c r="D16" i="8"/>
  <c r="F30" i="8"/>
  <c r="F16" i="8"/>
  <c r="F27" i="8"/>
  <c r="K16" i="8" l="1"/>
  <c r="L16" i="8" s="1"/>
  <c r="L17" i="8" s="1"/>
  <c r="K28" i="8"/>
  <c r="M28" i="8" s="1"/>
  <c r="K30" i="8"/>
  <c r="M30" i="8" s="1"/>
  <c r="K27" i="8"/>
  <c r="K29" i="8"/>
  <c r="M29" i="8" s="1"/>
  <c r="J27" i="8"/>
  <c r="J28" i="8"/>
  <c r="J30" i="8"/>
  <c r="J16" i="8"/>
  <c r="J29" i="8"/>
  <c r="M27" i="8" l="1"/>
  <c r="D43" i="2"/>
  <c r="L18" i="8"/>
  <c r="L19" i="8" s="1"/>
  <c r="L20" i="8" s="1"/>
  <c r="L21" i="8" s="1"/>
  <c r="L22" i="8" s="1"/>
  <c r="M16" i="8"/>
  <c r="N16" i="8" s="1"/>
  <c r="N17" i="8" s="1"/>
  <c r="D54" i="2" s="1"/>
  <c r="L23" i="8" l="1"/>
  <c r="L24" i="8" s="1"/>
  <c r="L25" i="8" s="1"/>
  <c r="L26" i="8" s="1"/>
  <c r="L27" i="8" s="1"/>
  <c r="N18" i="8"/>
  <c r="N19" i="8" s="1"/>
  <c r="N20" i="8" s="1"/>
  <c r="N21" i="8" s="1"/>
  <c r="N22" i="8" s="1"/>
  <c r="D55" i="2" s="1"/>
  <c r="L28" i="8" l="1"/>
  <c r="L29" i="8" s="1"/>
  <c r="L30" i="8" s="1"/>
  <c r="L31" i="8" s="1"/>
  <c r="L32" i="8" s="1"/>
  <c r="N23" i="8"/>
  <c r="N24" i="8" s="1"/>
  <c r="N25" i="8" s="1"/>
  <c r="N26" i="8" s="1"/>
  <c r="N27" i="8" s="1"/>
  <c r="D56" i="2" s="1"/>
  <c r="N28" i="8" l="1"/>
  <c r="N29" i="8" s="1"/>
  <c r="N30" i="8" s="1"/>
  <c r="N31" i="8" s="1"/>
  <c r="N32" i="8" s="1"/>
  <c r="D57" i="2" s="1"/>
</calcChain>
</file>

<file path=xl/sharedStrings.xml><?xml version="1.0" encoding="utf-8"?>
<sst xmlns="http://schemas.openxmlformats.org/spreadsheetml/2006/main" count="404" uniqueCount="165">
  <si>
    <t>Values (edit)</t>
  </si>
  <si>
    <t>Units</t>
  </si>
  <si>
    <t>per kWh</t>
  </si>
  <si>
    <t>per year</t>
  </si>
  <si>
    <t>Proposal #</t>
  </si>
  <si>
    <t>Proposal Name</t>
  </si>
  <si>
    <t>NOTE: If you entered a Discount Rate in cell H12 above, these results will show Net Present Value. If you left the Discount Rate at 0%, these results will show simple savings.</t>
  </si>
  <si>
    <t>Subscription Sizing Calculations</t>
  </si>
  <si>
    <t>Value</t>
  </si>
  <si>
    <t>Unit</t>
  </si>
  <si>
    <t>Notes</t>
  </si>
  <si>
    <t>Average utility use (per Month)</t>
  </si>
  <si>
    <t>kWh</t>
  </si>
  <si>
    <t>converted to watt hours per month</t>
  </si>
  <si>
    <t>watt hours</t>
  </si>
  <si>
    <t>x1000</t>
  </si>
  <si>
    <t>converted to watt hours/ day</t>
  </si>
  <si>
    <t>watt hours-day</t>
  </si>
  <si>
    <t>div 30</t>
  </si>
  <si>
    <t>Divide solar watt hours/day by average insolation</t>
  </si>
  <si>
    <t>watts</t>
  </si>
  <si>
    <t>The solar radiation value used to rate panels is 1 kW/m2 and thus the results are in watts.</t>
  </si>
  <si>
    <t>div 4.4</t>
  </si>
  <si>
    <t>De-rate (0.77)</t>
  </si>
  <si>
    <t>Derate Factor = 0.77 (NREL)</t>
  </si>
  <si>
    <t>div 0.77</t>
  </si>
  <si>
    <t>convert back to kWh</t>
  </si>
  <si>
    <t>kW</t>
  </si>
  <si>
    <t>div 1000</t>
  </si>
  <si>
    <t>panel sizes</t>
  </si>
  <si>
    <t>Name:</t>
  </si>
  <si>
    <t>Year</t>
  </si>
  <si>
    <t>Paid to Developer Annually</t>
  </si>
  <si>
    <t>Annual Savings (Simple)</t>
  </si>
  <si>
    <t>Cumulative Savings (Simple)</t>
  </si>
  <si>
    <t>Annual Savings (NPV)</t>
  </si>
  <si>
    <t>Cumulative Savings (NPV)</t>
  </si>
  <si>
    <t xml:space="preserve"> </t>
  </si>
  <si>
    <t>PPA Rate</t>
  </si>
  <si>
    <t>Cost of Electricity w/o PPA</t>
  </si>
  <si>
    <t>Compare costs and savings for multiple PPA proposals in Xcel Energy territory</t>
  </si>
  <si>
    <t>Solar Capacity Credit Rate (.07139 applied to 48% of production)</t>
  </si>
  <si>
    <t>Discount rate to apply to savings projections</t>
  </si>
  <si>
    <t>Production Guarantee</t>
  </si>
  <si>
    <t>System degradation factor</t>
  </si>
  <si>
    <t>Expected annual production</t>
  </si>
  <si>
    <t>Estimated cost of electricity (per kWh)</t>
  </si>
  <si>
    <t>Out of pocket cost</t>
  </si>
  <si>
    <t>Name</t>
  </si>
  <si>
    <t>Utility rate escalation</t>
  </si>
  <si>
    <r>
      <t xml:space="preserve">Based on the inputs above, your MONTHLY financial savings or </t>
    </r>
    <r>
      <rPr>
        <sz val="12"/>
        <color rgb="FFC00000"/>
        <rFont val="Calibri"/>
        <family val="2"/>
        <scheme val="minor"/>
      </rPr>
      <t>costs</t>
    </r>
    <r>
      <rPr>
        <sz val="12"/>
        <rFont val="Calibri"/>
        <family val="2"/>
        <scheme val="minor"/>
      </rPr>
      <t xml:space="preserve"> as a result of your PPA are below for each proposal. </t>
    </r>
    <r>
      <rPr>
        <b/>
        <sz val="12"/>
        <rFont val="Calibri"/>
        <family val="2"/>
        <scheme val="minor"/>
      </rPr>
      <t xml:space="preserve">This is the </t>
    </r>
    <r>
      <rPr>
        <b/>
        <i/>
        <sz val="12"/>
        <rFont val="Calibri"/>
        <family val="2"/>
        <scheme val="minor"/>
      </rPr>
      <t xml:space="preserve">monthly </t>
    </r>
    <r>
      <rPr>
        <b/>
        <sz val="12"/>
        <rFont val="Calibri"/>
        <family val="2"/>
        <scheme val="minor"/>
      </rPr>
      <t>difference between what you would have paid without a solar system and what you would pay through a PPA</t>
    </r>
  </si>
  <si>
    <r>
      <t xml:space="preserve">Based on the inputs above, your CUMULATIVE financial savings or </t>
    </r>
    <r>
      <rPr>
        <sz val="12"/>
        <color rgb="FFC00000"/>
        <rFont val="Calibri"/>
        <family val="2"/>
        <scheme val="minor"/>
      </rPr>
      <t>costs</t>
    </r>
    <r>
      <rPr>
        <sz val="12"/>
        <rFont val="Calibri"/>
        <family val="2"/>
        <scheme val="minor"/>
      </rPr>
      <t xml:space="preserve"> as a result of your PPA are below for each proposal. </t>
    </r>
    <r>
      <rPr>
        <b/>
        <sz val="12"/>
        <rFont val="Calibri"/>
        <family val="2"/>
        <scheme val="minor"/>
      </rPr>
      <t>This is the cumulative</t>
    </r>
    <r>
      <rPr>
        <b/>
        <i/>
        <sz val="12"/>
        <rFont val="Calibri"/>
        <family val="2"/>
        <scheme val="minor"/>
      </rPr>
      <t xml:space="preserve"> </t>
    </r>
    <r>
      <rPr>
        <b/>
        <sz val="12"/>
        <rFont val="Calibri"/>
        <family val="2"/>
        <scheme val="minor"/>
      </rPr>
      <t>difference between what you would have paid without a solar system and what you would pay through a PPA</t>
    </r>
  </si>
  <si>
    <t>BOX 1: Subscriber Inputs</t>
  </si>
  <si>
    <t>Expected Annual Savings</t>
  </si>
  <si>
    <t>System Size (kW)</t>
  </si>
  <si>
    <t>Expected Year 1 Production (kWh)</t>
  </si>
  <si>
    <t>PPA Starting Rate ($/kWh)</t>
  </si>
  <si>
    <t>PPA Rate Escalation</t>
  </si>
  <si>
    <t>PPA Term (yrs)</t>
  </si>
  <si>
    <t>Guaranteed Savings</t>
  </si>
  <si>
    <t>INSTRUCTIONS</t>
  </si>
  <si>
    <r>
      <rPr>
        <b/>
        <sz val="11"/>
        <color theme="1"/>
        <rFont val="Calibri"/>
        <family val="2"/>
        <scheme val="minor"/>
      </rPr>
      <t>STEP 3:</t>
    </r>
    <r>
      <rPr>
        <sz val="11"/>
        <color theme="1"/>
        <rFont val="Calibri"/>
        <family val="2"/>
        <scheme val="minor"/>
      </rPr>
      <t xml:space="preserve"> When you have finished entering all of the information, take a look at </t>
    </r>
    <r>
      <rPr>
        <b/>
        <sz val="11"/>
        <color theme="1"/>
        <rFont val="Calibri"/>
        <family val="2"/>
        <scheme val="minor"/>
      </rPr>
      <t>Box 3</t>
    </r>
    <r>
      <rPr>
        <sz val="11"/>
        <color theme="1"/>
        <rFont val="Calibri"/>
        <family val="2"/>
        <scheme val="minor"/>
      </rPr>
      <t xml:space="preserve"> to view the monthly costs/savings of each proposal and </t>
    </r>
    <r>
      <rPr>
        <b/>
        <sz val="11"/>
        <color theme="1"/>
        <rFont val="Calibri"/>
        <family val="2"/>
        <scheme val="minor"/>
      </rPr>
      <t>Box 4</t>
    </r>
    <r>
      <rPr>
        <sz val="11"/>
        <color theme="1"/>
        <rFont val="Calibri"/>
        <family val="2"/>
        <scheme val="minor"/>
      </rPr>
      <t xml:space="preserve"> to view the cumulative costs/savings of each proposal. Finally, check out the </t>
    </r>
    <r>
      <rPr>
        <b/>
        <sz val="11"/>
        <color theme="1"/>
        <rFont val="Calibri"/>
        <family val="2"/>
        <scheme val="minor"/>
      </rPr>
      <t>Expected Annual Savings graph</t>
    </r>
    <r>
      <rPr>
        <sz val="11"/>
        <color theme="1"/>
        <rFont val="Calibri"/>
        <family val="2"/>
        <scheme val="minor"/>
      </rPr>
      <t xml:space="preserve"> to see how the proposals compare year-by-year. </t>
    </r>
  </si>
  <si>
    <r>
      <rPr>
        <b/>
        <sz val="11"/>
        <color theme="1"/>
        <rFont val="Calibri"/>
        <family val="2"/>
        <scheme val="minor"/>
      </rPr>
      <t>STEP 1:</t>
    </r>
    <r>
      <rPr>
        <sz val="11"/>
        <color theme="1"/>
        <rFont val="Calibri"/>
        <family val="2"/>
        <scheme val="minor"/>
      </rPr>
      <t xml:space="preserve"> The green cells in </t>
    </r>
    <r>
      <rPr>
        <b/>
        <sz val="11"/>
        <color theme="1"/>
        <rFont val="Calibri"/>
        <family val="2"/>
        <scheme val="minor"/>
      </rPr>
      <t>Box 1</t>
    </r>
    <r>
      <rPr>
        <sz val="11"/>
        <color theme="1"/>
        <rFont val="Calibri"/>
        <family val="2"/>
        <scheme val="minor"/>
      </rPr>
      <t xml:space="preserve"> contain assumptions that affect the overall cost/savings of PPA-financed solar projects.  These cells are pre-populated with typical values, but you can change the values to see how they affect the overall financial cost/savings.</t>
    </r>
  </si>
  <si>
    <t>Explanation</t>
  </si>
  <si>
    <t>The utility rate escalation is applied to your average cost of electricity to account for expected changes in electricity rates over time.</t>
  </si>
  <si>
    <t>If you'd like, you can apply a discount rate to the costs/savings projections. If you're not sure what to use, ask your government's finance department.</t>
  </si>
  <si>
    <t>BOX 3: Monthly Costs or Savings over 30 Years</t>
  </si>
  <si>
    <r>
      <rPr>
        <b/>
        <sz val="11"/>
        <color theme="1"/>
        <rFont val="Calibri"/>
        <family val="2"/>
        <scheme val="minor"/>
      </rPr>
      <t xml:space="preserve">This calculator is designed to help Minnesota state and local governments with Xcel Energy electric service make apples-to-apples comparisons between solar Power Purchase Agreement (PPA) proposals. </t>
    </r>
    <r>
      <rPr>
        <sz val="11"/>
        <color theme="1"/>
        <rFont val="Calibri"/>
        <family val="2"/>
        <scheme val="minor"/>
      </rPr>
      <t xml:space="preserve">                    </t>
    </r>
  </si>
  <si>
    <t>BOX 4: Cumulative Costs or Savings over 30 Years</t>
  </si>
  <si>
    <t>Yes</t>
  </si>
  <si>
    <t>Jan</t>
  </si>
  <si>
    <t>Feb</t>
  </si>
  <si>
    <t>Mar</t>
  </si>
  <si>
    <t>Apr</t>
  </si>
  <si>
    <t>May</t>
  </si>
  <si>
    <t>Jun</t>
  </si>
  <si>
    <t>Jul</t>
  </si>
  <si>
    <t>Aug</t>
  </si>
  <si>
    <t>Sep</t>
  </si>
  <si>
    <t>Oct</t>
  </si>
  <si>
    <t>Nov</t>
  </si>
  <si>
    <t>Dec</t>
  </si>
  <si>
    <t>kWp DC</t>
  </si>
  <si>
    <t>Curves</t>
  </si>
  <si>
    <t xml:space="preserve">y = 0.0114x4 - 0.0753x3 + 0.1735x2 - 0.1627x - 0.0405
</t>
  </si>
  <si>
    <t xml:space="preserve">y = 0.005x2 - 0.0307x - 0.0467
</t>
  </si>
  <si>
    <t xml:space="preserve">y = 0.0203x4 - 0.1409x3 + 0.3477x2 - 0.3577x - 0.0375
</t>
  </si>
  <si>
    <r>
      <t>y = -0.0267x</t>
    </r>
    <r>
      <rPr>
        <vertAlign val="superscript"/>
        <sz val="9"/>
        <color rgb="FF595959"/>
        <rFont val="Calibri"/>
        <family val="2"/>
        <scheme val="minor"/>
      </rPr>
      <t>4</t>
    </r>
    <r>
      <rPr>
        <sz val="9"/>
        <color rgb="FF595959"/>
        <rFont val="Calibri"/>
        <family val="2"/>
        <scheme val="minor"/>
      </rPr>
      <t xml:space="preserve"> + 0.1441x</t>
    </r>
    <r>
      <rPr>
        <vertAlign val="superscript"/>
        <sz val="9"/>
        <color rgb="FF595959"/>
        <rFont val="Calibri"/>
        <family val="2"/>
        <scheme val="minor"/>
      </rPr>
      <t>3</t>
    </r>
    <r>
      <rPr>
        <sz val="9"/>
        <color rgb="FF595959"/>
        <rFont val="Calibri"/>
        <family val="2"/>
        <scheme val="minor"/>
      </rPr>
      <t xml:space="preserve"> - 0.1934x</t>
    </r>
    <r>
      <rPr>
        <vertAlign val="superscript"/>
        <sz val="9"/>
        <color rgb="FF595959"/>
        <rFont val="Calibri"/>
        <family val="2"/>
        <scheme val="minor"/>
      </rPr>
      <t>2</t>
    </r>
    <r>
      <rPr>
        <sz val="9"/>
        <color rgb="FF595959"/>
        <rFont val="Calibri"/>
        <family val="2"/>
        <scheme val="minor"/>
      </rPr>
      <t xml:space="preserve"> - 0.0823x - 0.0545</t>
    </r>
  </si>
  <si>
    <t>y = 0.0386x6 - 0.3474x5 + 1.2173x4 - 2.093x3 + 1.8176x2 - 0.7291x - 0.0977</t>
  </si>
  <si>
    <t xml:space="preserve">y = -0.0272x5 + 0.2255x4 - 0.7129x3 + 1.0621x2 - 0.737x - 0.06 </t>
  </si>
  <si>
    <t xml:space="preserve">y = 0.0245x4 - 0.1573x3 + 0.35x2 - 0.3565x - 0.0417 </t>
  </si>
  <si>
    <r>
      <t>y = -0.0236x</t>
    </r>
    <r>
      <rPr>
        <vertAlign val="superscript"/>
        <sz val="11"/>
        <color theme="1"/>
        <rFont val="Calibri"/>
        <family val="2"/>
        <scheme val="minor"/>
      </rPr>
      <t>5</t>
    </r>
    <r>
      <rPr>
        <sz val="11"/>
        <color theme="1"/>
        <rFont val="Calibri"/>
        <family val="2"/>
        <scheme val="minor"/>
      </rPr>
      <t xml:space="preserve"> + 0.1825x</t>
    </r>
    <r>
      <rPr>
        <vertAlign val="superscript"/>
        <sz val="11"/>
        <color theme="1"/>
        <rFont val="Calibri"/>
        <family val="2"/>
        <scheme val="minor"/>
      </rPr>
      <t>4</t>
    </r>
    <r>
      <rPr>
        <sz val="11"/>
        <color theme="1"/>
        <rFont val="Calibri"/>
        <family val="2"/>
        <scheme val="minor"/>
      </rPr>
      <t xml:space="preserve"> - 0.5265x</t>
    </r>
    <r>
      <rPr>
        <vertAlign val="superscript"/>
        <sz val="11"/>
        <color theme="1"/>
        <rFont val="Calibri"/>
        <family val="2"/>
        <scheme val="minor"/>
      </rPr>
      <t>3</t>
    </r>
    <r>
      <rPr>
        <sz val="11"/>
        <color theme="1"/>
        <rFont val="Calibri"/>
        <family val="2"/>
        <scheme val="minor"/>
      </rPr>
      <t xml:space="preserve"> + 0.6939x</t>
    </r>
    <r>
      <rPr>
        <vertAlign val="superscript"/>
        <sz val="11"/>
        <color theme="1"/>
        <rFont val="Calibri"/>
        <family val="2"/>
        <scheme val="minor"/>
      </rPr>
      <t>2</t>
    </r>
    <r>
      <rPr>
        <sz val="11"/>
        <color theme="1"/>
        <rFont val="Calibri"/>
        <family val="2"/>
        <scheme val="minor"/>
      </rPr>
      <t xml:space="preserve"> - 0.4061x - 0.0359</t>
    </r>
  </si>
  <si>
    <t xml:space="preserve">y = -0.0125x5 + 0.1012x4 - 0.3098x3 + 0.4425x2 - 0.29x - 0.0174 </t>
  </si>
  <si>
    <t>y = 0.0083x4 - 0.0557x3 + 0.1356x2 - 0.1449x - 0.0296</t>
  </si>
  <si>
    <t>y = -0.0107x5 + 0.0818x4 - 0.2324x3 + 0.2994x2 - 0.1692x - 0.0194</t>
  </si>
  <si>
    <t>y = -0.0267x4 + 0.1441x3 - 0.1934x2 - 0.0823x - 0.0545</t>
  </si>
  <si>
    <t>y = -0.0236x5 + 0.1825x4 - 0.5265x3 + 0.6939x2 - 0.4061x - 0.0359</t>
  </si>
  <si>
    <t>Step 2: Use normalized SAM curves to calculate percent demand charge reduction</t>
  </si>
  <si>
    <t>Step 1: Enter the monthly kWh consumed for each site (proposal)</t>
  </si>
  <si>
    <t>Percent PV</t>
  </si>
  <si>
    <t xml:space="preserve">NREL Scaled demand </t>
  </si>
  <si>
    <t>NREL Scaling factor (kWh to kW)</t>
  </si>
  <si>
    <t xml:space="preserve">y = -0.008x3 + 0.0434x2 - 0.0742x + 0.002 </t>
  </si>
  <si>
    <t>Winter Demand Charge</t>
  </si>
  <si>
    <t>Winter Demand Charge ($/kW)</t>
  </si>
  <si>
    <t>Summer demand charge ($/kW)</t>
  </si>
  <si>
    <t>Rate schedule</t>
  </si>
  <si>
    <t>General</t>
  </si>
  <si>
    <t>Results: Estimated Demand Charge Reductions ($)</t>
  </si>
  <si>
    <t>Total Savings</t>
  </si>
  <si>
    <t>Demand Charge Reduction estimation?</t>
  </si>
  <si>
    <t>No</t>
  </si>
  <si>
    <t>Select from the drop down</t>
  </si>
  <si>
    <t>Demand Charge Considered?</t>
  </si>
  <si>
    <t>Estimated Demand Charge Savings (simple, with escalation)</t>
  </si>
  <si>
    <t>PV percentage</t>
  </si>
  <si>
    <t>Percent reduction in demand</t>
  </si>
  <si>
    <t>General Service</t>
  </si>
  <si>
    <t>Peak Controlled</t>
  </si>
  <si>
    <t>Small General Service</t>
  </si>
  <si>
    <t>2019 Rates</t>
  </si>
  <si>
    <t>Summer Demand Charge</t>
  </si>
  <si>
    <t>Total Rate ($/kWh)</t>
  </si>
  <si>
    <t>Other riders</t>
  </si>
  <si>
    <t>Decoupling adjustment</t>
  </si>
  <si>
    <t>Fuel cost rider</t>
  </si>
  <si>
    <t>SOURCE:</t>
  </si>
  <si>
    <t>https://www.xcelenergy.com/company/rates_and_regulations/rates/rate_riders</t>
  </si>
  <si>
    <t>https://www.xcelenergy.com/staticfiles/xe/Regulatory/Regulatory PDFs/rates/MN/Me_Section_5.pdf</t>
  </si>
  <si>
    <t>Summer Rate</t>
  </si>
  <si>
    <t>Winter Rate</t>
  </si>
  <si>
    <t>Weighted Rate by PV production</t>
  </si>
  <si>
    <t>Electricity Rate Schedule (select)</t>
  </si>
  <si>
    <t>Total Charge</t>
  </si>
  <si>
    <t>Percent reduction</t>
  </si>
  <si>
    <t>Site Name</t>
  </si>
  <si>
    <t>SITE 4</t>
  </si>
  <si>
    <t>SITE 5</t>
  </si>
  <si>
    <t>SITE 6</t>
  </si>
  <si>
    <t>SITE 7</t>
  </si>
  <si>
    <t>SITE 8</t>
  </si>
  <si>
    <r>
      <t>STEP 3:</t>
    </r>
    <r>
      <rPr>
        <sz val="11"/>
        <color theme="1"/>
        <rFont val="Calibri"/>
        <family val="2"/>
        <scheme val="minor"/>
      </rPr>
      <t xml:space="preserve"> In the </t>
    </r>
    <r>
      <rPr>
        <b/>
        <sz val="11"/>
        <color theme="1"/>
        <rFont val="Calibri"/>
        <family val="2"/>
        <scheme val="minor"/>
      </rPr>
      <t>Demand Charge Calculations</t>
    </r>
    <r>
      <rPr>
        <sz val="11"/>
        <color theme="1"/>
        <rFont val="Calibri"/>
        <family val="2"/>
        <scheme val="minor"/>
      </rPr>
      <t xml:space="preserve"> sheet, enter monthly consumption for each site. If you are comparing proposals for the same site, simply copy and paste monthly consumption into each column.</t>
    </r>
  </si>
  <si>
    <r>
      <rPr>
        <b/>
        <sz val="11"/>
        <color theme="1"/>
        <rFont val="Calibri"/>
        <family val="2"/>
        <scheme val="minor"/>
      </rPr>
      <t>NOTE:</t>
    </r>
    <r>
      <rPr>
        <sz val="11"/>
        <color theme="1"/>
        <rFont val="Calibri"/>
        <family val="2"/>
        <scheme val="minor"/>
      </rPr>
      <t xml:space="preserve"> This "Summary" tab provides an overview of the costs/savings of each proposal. If you would like more detail on the financial calculations, take a look at the "Site 1, Site  2, etc." tabs, which automatically calculate costs/savings step-by-step based on the inputs in Box 1 and Box 2.</t>
    </r>
  </si>
  <si>
    <t>For more information on the data used, explore the "Demand Reduction Curves" page or scroll right on this page to see rate schedule information.</t>
  </si>
  <si>
    <t>Rate Calculations</t>
  </si>
  <si>
    <t>Scaling Factors</t>
  </si>
  <si>
    <t>y = 0.0114x4 - 0.0753x3 + 0.1735x2 - 0.1627x - 0.0405</t>
  </si>
  <si>
    <t>y = 0.005x2 - 0.0307x - 0.0467</t>
  </si>
  <si>
    <t>y = 0.0203x4 - 0.1409x3 + 0.3477x2 - 0.3577x - 0.0375</t>
  </si>
  <si>
    <t>y=-0.008*M2^3 + 0.0434*M2^2 - 0.0742*M2 + 0.002</t>
  </si>
  <si>
    <t>Estimated % demand charge reduction (calculated)</t>
  </si>
  <si>
    <r>
      <rPr>
        <b/>
        <sz val="11"/>
        <color theme="1"/>
        <rFont val="Calibri"/>
        <family val="2"/>
        <scheme val="minor"/>
      </rPr>
      <t>STEP 2:</t>
    </r>
    <r>
      <rPr>
        <sz val="11"/>
        <color theme="1"/>
        <rFont val="Calibri"/>
        <family val="2"/>
        <scheme val="minor"/>
      </rPr>
      <t xml:space="preserve">  Enter the details from each proposal into the green cells in </t>
    </r>
    <r>
      <rPr>
        <b/>
        <sz val="11"/>
        <color theme="1"/>
        <rFont val="Calibri"/>
        <family val="2"/>
        <scheme val="minor"/>
      </rPr>
      <t xml:space="preserve">Box 2 </t>
    </r>
    <r>
      <rPr>
        <sz val="11"/>
        <color theme="1"/>
        <rFont val="Calibri"/>
        <family val="2"/>
        <scheme val="minor"/>
      </rPr>
      <t>(rows 21-31). The dark green box indicates an estimation for demand reduction when demand reduction is checked on in Box 1. The "name" can be updated to the developer's name or proposal label.</t>
    </r>
  </si>
  <si>
    <t>Solar Rewards Credit</t>
  </si>
  <si>
    <t>Solar systems under 40kW in Xcel Energy electric territory are eligible for the Solar Rewards program for the first ten years of production.</t>
  </si>
  <si>
    <t>This accounts for the fact that solar PV systems, like batteries, become less productive over time. 
0.50% is the industry standard assumption.</t>
  </si>
  <si>
    <t>Estimated Solar Capacity Credit or Solar Rewards Rate (per kWh)</t>
  </si>
  <si>
    <t>Annul SCC or SR Contribution</t>
  </si>
  <si>
    <t>EXAMPLE SITE 1</t>
  </si>
  <si>
    <t>EXAMPLE SITE 2</t>
  </si>
  <si>
    <t>EXAMPLE SITE 3</t>
  </si>
  <si>
    <t>The Local Government Solar Power Purchase Agreement Calculator</t>
  </si>
  <si>
    <t xml:space="preserve">This incorporates an estimated demand charge reduction. The methodology is adapted from the National Renewable Energy Laboratory and applied to these projects. More information here: https://www.nrel.gov/docs/fy17osti/69016.pdf . It is impossible to predict exactly what demand reduction might be, but this is an "optimistic" best guess. </t>
  </si>
  <si>
    <r>
      <t xml:space="preserve">Solar systems over 40kW in Xcel Energy electric territory are eligible to receive a "Solar Capacity Credit" for electricity produced between 1-7pm during most months of the year. Estimates have shown that this credit applies to 48% of total production on average.
</t>
    </r>
    <r>
      <rPr>
        <i/>
        <sz val="10"/>
        <color theme="1"/>
        <rFont val="Calibri"/>
        <family val="2"/>
        <scheme val="minor"/>
      </rPr>
      <t>NOTE: The current credit rate is under evaluation and only guranteed for the next 6 years. (Nov. 2018)</t>
    </r>
  </si>
  <si>
    <t>BOX 2: Proposals for Comparison - The information for this box will come directly from the proposal/developer.</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</si>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</sst>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409]#,##0.00_);\([$$-409]#,##0.00\)"/>
    <numFmt numFmtId="167" formatCode="&quot;$&quot;#,##0.00000"/>
    <numFmt numFmtId="168" formatCode="&quot;$&quot;#,##0.000"/>
    <numFmt numFmtId="169" formatCode="&quot;$&quot;#,##0"/>
    <numFmt numFmtId="170" formatCode="&quot;$&quot;#,##0.0000_);[Red]\(&quot;$&quot;#,##0.0000\)"/>
    <numFmt numFmtId="171" formatCode="0.000%"/>
    <numFmt numFmtId="172" formatCode="0.0%"/>
    <numFmt numFmtId="173" formatCode="0.0000"/>
    <numFmt numFmtId="174" formatCode="_(* #,##0.00000_);_(* \(#,##0.00000\);_(* &quot;-&quot;??_);_(@_)"/>
    <numFmt numFmtId="175" formatCode="&quot;$&quot;#,##0.00000_);[Red]\(&quot;$&quot;#,##0.00000\)"/>
    <numFmt numFmtId="176" formatCode="_(&quot;$&quot;* #,##0.0000_);_(&quot;$&quot;* \(#,##0.0000\);_(&quot;$&quot;* &quot;-&quot;??_);_(@_)"/>
  </numFmts>
  <fonts count="32"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b/>
      <i/>
      <sz val="14"/>
      <color theme="1"/>
      <name val="Calibri"/>
      <family val="2"/>
      <scheme val="minor"/>
    </font>
    <font>
      <i/>
      <sz val="11"/>
      <color theme="1"/>
      <name val="Calibri"/>
      <family val="2"/>
      <scheme val="minor"/>
    </font>
    <font>
      <sz val="12"/>
      <name val="Calibri"/>
      <family val="2"/>
      <scheme val="minor"/>
    </font>
    <font>
      <sz val="12"/>
      <color rgb="FFC00000"/>
      <name val="Calibri"/>
      <family val="2"/>
      <scheme val="minor"/>
    </font>
    <font>
      <b/>
      <sz val="16"/>
      <color theme="0"/>
      <name val="Calibri"/>
      <family val="2"/>
      <scheme val="minor"/>
    </font>
    <font>
      <sz val="16"/>
      <color theme="0"/>
      <name val="Calibri"/>
      <family val="2"/>
      <scheme val="minor"/>
    </font>
    <font>
      <sz val="14"/>
      <color theme="1"/>
      <name val="Calibri"/>
      <family val="2"/>
      <scheme val="minor"/>
    </font>
    <font>
      <b/>
      <sz val="12"/>
      <name val="Calibri"/>
      <family val="2"/>
      <scheme val="minor"/>
    </font>
    <font>
      <b/>
      <i/>
      <sz val="12"/>
      <name val="Calibri"/>
      <family val="2"/>
      <scheme val="minor"/>
    </font>
    <font>
      <sz val="7"/>
      <color theme="1"/>
      <name val="Calibri"/>
      <family val="2"/>
      <scheme val="minor"/>
    </font>
    <font>
      <b/>
      <sz val="20"/>
      <color theme="1"/>
      <name val="Calibri"/>
      <family val="2"/>
      <scheme val="minor"/>
    </font>
    <font>
      <sz val="11"/>
      <color rgb="FF3F3F76"/>
      <name val="Calibri"/>
      <family val="2"/>
      <scheme val="minor"/>
    </font>
    <font>
      <b/>
      <sz val="11"/>
      <color rgb="FF3F3F3F"/>
      <name val="Calibri"/>
      <family val="2"/>
      <scheme val="minor"/>
    </font>
    <font>
      <sz val="9"/>
      <color rgb="FF595959"/>
      <name val="Calibri"/>
      <family val="2"/>
      <scheme val="minor"/>
    </font>
    <font>
      <vertAlign val="superscript"/>
      <sz val="9"/>
      <color rgb="FF595959"/>
      <name val="Calibri"/>
      <family val="2"/>
      <scheme val="minor"/>
    </font>
    <font>
      <vertAlign val="superscript"/>
      <sz val="11"/>
      <color theme="1"/>
      <name val="Calibri"/>
      <family val="2"/>
      <scheme val="minor"/>
    </font>
    <font>
      <sz val="11"/>
      <color rgb="FF3F3F3F"/>
      <name val="Calibri"/>
      <family val="2"/>
      <scheme val="minor"/>
    </font>
    <font>
      <sz val="11"/>
      <color theme="1"/>
      <name val="Arial"/>
      <family val="2"/>
    </font>
    <font>
      <b/>
      <sz val="11"/>
      <color theme="0"/>
      <name val="Calibri"/>
      <family val="2"/>
      <scheme val="minor"/>
    </font>
    <font>
      <sz val="11"/>
      <color theme="0"/>
      <name val="Calibri"/>
      <family val="2"/>
      <scheme val="minor"/>
    </font>
    <font>
      <b/>
      <sz val="12"/>
      <color rgb="FF3F3F3F"/>
      <name val="Calibri"/>
      <family val="2"/>
      <scheme val="minor"/>
    </font>
    <font>
      <sz val="10"/>
      <color theme="1"/>
      <name val="Calibri"/>
      <family val="2"/>
      <scheme val="minor"/>
    </font>
    <font>
      <i/>
      <sz val="10"/>
      <color theme="1"/>
      <name val="Calibri"/>
      <family val="2"/>
      <scheme val="minor"/>
    </font>
    <font>
      <i/>
      <sz val="12"/>
      <color theme="1"/>
      <name val="Calibri"/>
      <family val="2"/>
      <scheme val="minor"/>
    </font>
    <font>
      <b/>
      <sz val="14"/>
      <color theme="0"/>
      <name val="Calibri"/>
      <family val="2"/>
      <scheme val="minor"/>
    </font>
  </fonts>
  <fills count="21">
    <fill>
      <patternFill patternType="none"/>
    </fill>
    <fill>
      <patternFill patternType="gray125"/>
    </fill>
    <fill>
      <patternFill patternType="solid">
        <fgColor rgb="FF99FF99"/>
        <bgColor indexed="64"/>
      </patternFill>
    </fill>
    <fill>
      <patternFill patternType="solid">
        <fgColor rgb="FF92D050"/>
        <bgColor indexed="64"/>
      </patternFill>
    </fill>
    <fill>
      <patternFill patternType="solid">
        <fgColor theme="0"/>
        <bgColor indexed="64"/>
      </patternFill>
    </fill>
    <fill>
      <patternFill patternType="solid">
        <fgColor rgb="FF005397"/>
        <bgColor indexed="64"/>
      </patternFill>
    </fill>
    <fill>
      <patternFill patternType="solid">
        <fgColor rgb="FFE4B53A"/>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rgb="FFFF7C80"/>
        <bgColor indexed="64"/>
      </patternFill>
    </fill>
    <fill>
      <patternFill patternType="solid">
        <fgColor theme="2"/>
        <bgColor indexed="64"/>
      </patternFill>
    </fill>
    <fill>
      <patternFill patternType="solid">
        <fgColor rgb="FF86A8CC"/>
        <bgColor indexed="64"/>
      </patternFill>
    </fill>
    <fill>
      <patternFill patternType="solid">
        <fgColor theme="0" tint="-0.249977111117893"/>
        <bgColor indexed="64"/>
      </patternFill>
    </fill>
    <fill>
      <patternFill patternType="solid">
        <fgColor rgb="FFFFCC99"/>
      </patternFill>
    </fill>
    <fill>
      <patternFill patternType="solid">
        <fgColor rgb="FFF2F2F2"/>
      </patternFill>
    </fill>
    <fill>
      <patternFill patternType="solid">
        <fgColor rgb="FF5A8B25"/>
        <bgColor indexed="64"/>
      </patternFill>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rgb="FF7F7F7F"/>
      </left>
      <right/>
      <top style="thin">
        <color rgb="FF7F7F7F"/>
      </top>
      <bottom style="thin">
        <color rgb="FF7F7F7F"/>
      </bottom>
      <diagonal/>
    </border>
    <border>
      <left style="thin">
        <color rgb="FF3F3F3F"/>
      </left>
      <right/>
      <top style="thin">
        <color rgb="FF3F3F3F"/>
      </top>
      <bottom style="thin">
        <color rgb="FF3F3F3F"/>
      </bottom>
      <diagonal/>
    </border>
  </borders>
  <cellStyleXfs count="6">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8" fillId="17" borderId="22" applyNumberFormat="0" applyAlignment="0" applyProtection="0"/>
    <xf numFmtId="0" fontId="19" fillId="18" borderId="23" applyNumberFormat="0" applyAlignment="0" applyProtection="0"/>
  </cellStyleXfs>
  <cellXfs count="212">
    <xf numFmtId="0" fontId="0" fillId="0" borderId="0" xfId="0"/>
    <xf numFmtId="0" fontId="0" fillId="4" borderId="0" xfId="0" applyFill="1" applyProtection="1"/>
    <xf numFmtId="0" fontId="0" fillId="4" borderId="0" xfId="0" applyFill="1" applyBorder="1" applyProtection="1"/>
    <xf numFmtId="0" fontId="0" fillId="4" borderId="0" xfId="0" applyFill="1" applyAlignment="1" applyProtection="1"/>
    <xf numFmtId="0" fontId="6" fillId="5" borderId="2"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7" borderId="1" xfId="0" applyFont="1" applyFill="1" applyBorder="1" applyAlignment="1" applyProtection="1">
      <alignment horizontal="center" vertical="center"/>
    </xf>
    <xf numFmtId="0" fontId="4" fillId="4" borderId="0" xfId="0" applyFont="1" applyFill="1" applyBorder="1" applyAlignment="1" applyProtection="1">
      <alignment vertical="center" wrapText="1"/>
    </xf>
    <xf numFmtId="0" fontId="1" fillId="8" borderId="1" xfId="0" applyFont="1" applyFill="1" applyBorder="1"/>
    <xf numFmtId="0" fontId="8" fillId="8" borderId="1" xfId="0" applyFont="1" applyFill="1" applyBorder="1"/>
    <xf numFmtId="0" fontId="0" fillId="9" borderId="1" xfId="0" applyFill="1" applyBorder="1"/>
    <xf numFmtId="43" fontId="0" fillId="9" borderId="1" xfId="2" applyFont="1" applyFill="1" applyBorder="1"/>
    <xf numFmtId="0" fontId="8" fillId="7" borderId="1" xfId="0" applyFont="1" applyFill="1" applyBorder="1"/>
    <xf numFmtId="0" fontId="1" fillId="10" borderId="1" xfId="0" applyFont="1" applyFill="1" applyBorder="1"/>
    <xf numFmtId="43" fontId="1" fillId="10" borderId="1" xfId="2" applyFont="1" applyFill="1" applyBorder="1"/>
    <xf numFmtId="0" fontId="0" fillId="9" borderId="0" xfId="0" applyFill="1" applyBorder="1"/>
    <xf numFmtId="0" fontId="4" fillId="4" borderId="0" xfId="0" applyFont="1" applyFill="1" applyBorder="1" applyAlignment="1" applyProtection="1">
      <alignment horizontal="center" vertical="center" wrapText="1"/>
    </xf>
    <xf numFmtId="0" fontId="11" fillId="11" borderId="10" xfId="0" applyFont="1" applyFill="1" applyBorder="1" applyAlignment="1">
      <alignment vertical="center"/>
    </xf>
    <xf numFmtId="0" fontId="12" fillId="11" borderId="11" xfId="0" applyFont="1" applyFill="1" applyBorder="1" applyAlignment="1">
      <alignment vertical="center"/>
    </xf>
    <xf numFmtId="0" fontId="12" fillId="11" borderId="12" xfId="0" applyFont="1" applyFill="1" applyBorder="1" applyAlignment="1">
      <alignment vertical="center"/>
    </xf>
    <xf numFmtId="0" fontId="0" fillId="0" borderId="0" xfId="0"/>
    <xf numFmtId="167" fontId="0" fillId="0" borderId="1" xfId="0" applyNumberFormat="1" applyFill="1" applyBorder="1"/>
    <xf numFmtId="0" fontId="0" fillId="0" borderId="1" xfId="0" applyFill="1" applyBorder="1"/>
    <xf numFmtId="169" fontId="0" fillId="0" borderId="1" xfId="0" applyNumberFormat="1" applyFill="1" applyBorder="1"/>
    <xf numFmtId="168" fontId="0" fillId="0" borderId="1" xfId="0" applyNumberFormat="1" applyFill="1" applyBorder="1"/>
    <xf numFmtId="0" fontId="5" fillId="4" borderId="0" xfId="0" applyFont="1" applyFill="1" applyBorder="1" applyAlignment="1" applyProtection="1">
      <alignment horizontal="center" vertical="center"/>
    </xf>
    <xf numFmtId="0" fontId="0" fillId="4" borderId="0" xfId="0" applyFill="1" applyBorder="1" applyAlignment="1" applyProtection="1">
      <alignment horizontal="left" vertical="center" wrapText="1" indent="1"/>
    </xf>
    <xf numFmtId="0" fontId="4" fillId="4" borderId="0" xfId="0" applyFont="1" applyFill="1" applyBorder="1" applyAlignment="1" applyProtection="1">
      <alignment horizontal="left" vertical="center" indent="1"/>
    </xf>
    <xf numFmtId="0" fontId="3" fillId="4" borderId="0" xfId="0" applyFont="1" applyFill="1" applyBorder="1" applyAlignment="1" applyProtection="1">
      <alignment vertical="center" wrapText="1"/>
    </xf>
    <xf numFmtId="49" fontId="3" fillId="4" borderId="0" xfId="0" applyNumberFormat="1" applyFont="1" applyFill="1" applyBorder="1" applyAlignment="1" applyProtection="1">
      <alignment horizontal="center" vertical="center" wrapText="1"/>
    </xf>
    <xf numFmtId="8" fontId="3" fillId="4" borderId="0" xfId="0" applyNumberFormat="1" applyFont="1" applyFill="1" applyBorder="1" applyAlignment="1" applyProtection="1">
      <alignment horizontal="center" vertical="center"/>
    </xf>
    <xf numFmtId="0" fontId="4" fillId="0" borderId="1" xfId="0" applyFont="1" applyBorder="1" applyAlignment="1" applyProtection="1">
      <alignment horizontal="left" vertical="center" indent="1"/>
    </xf>
    <xf numFmtId="43" fontId="0" fillId="0" borderId="0" xfId="0" applyNumberFormat="1"/>
    <xf numFmtId="0" fontId="0" fillId="0" borderId="0" xfId="0" applyProtection="1"/>
    <xf numFmtId="166" fontId="3" fillId="4" borderId="0" xfId="1" applyNumberFormat="1" applyFont="1" applyFill="1" applyBorder="1" applyAlignment="1" applyProtection="1">
      <alignment horizontal="right" vertical="center" indent="1"/>
    </xf>
    <xf numFmtId="0" fontId="0" fillId="12" borderId="0" xfId="0" applyFill="1"/>
    <xf numFmtId="0" fontId="5" fillId="6"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49" fontId="12" fillId="11" borderId="11" xfId="0" applyNumberFormat="1" applyFont="1" applyFill="1" applyBorder="1" applyAlignment="1">
      <alignment vertical="center"/>
    </xf>
    <xf numFmtId="0" fontId="1" fillId="7" borderId="2" xfId="0" applyFont="1" applyFill="1" applyBorder="1" applyAlignment="1">
      <alignment horizontal="center" vertical="center" wrapText="1"/>
    </xf>
    <xf numFmtId="44" fontId="0" fillId="0" borderId="1" xfId="0" applyNumberFormat="1" applyFill="1" applyBorder="1"/>
    <xf numFmtId="165" fontId="0" fillId="0" borderId="1" xfId="2" applyNumberFormat="1" applyFont="1" applyFill="1" applyBorder="1"/>
    <xf numFmtId="0" fontId="0" fillId="6" borderId="1" xfId="0" applyFill="1" applyBorder="1"/>
    <xf numFmtId="165" fontId="0" fillId="6" borderId="1" xfId="2" applyNumberFormat="1" applyFont="1" applyFill="1" applyBorder="1"/>
    <xf numFmtId="168" fontId="0" fillId="6" borderId="1" xfId="0" applyNumberFormat="1" applyFill="1" applyBorder="1"/>
    <xf numFmtId="169" fontId="0" fillId="6" borderId="1" xfId="0" applyNumberFormat="1" applyFill="1" applyBorder="1"/>
    <xf numFmtId="44" fontId="0" fillId="6" borderId="1" xfId="0" applyNumberFormat="1" applyFill="1" applyBorder="1"/>
    <xf numFmtId="167" fontId="0" fillId="6" borderId="1" xfId="0" applyNumberFormat="1" applyFill="1" applyBorder="1"/>
    <xf numFmtId="0" fontId="3" fillId="6" borderId="1" xfId="0" applyFont="1" applyFill="1" applyBorder="1" applyAlignment="1" applyProtection="1">
      <alignment vertical="center" wrapText="1"/>
    </xf>
    <xf numFmtId="164" fontId="0" fillId="12" borderId="0" xfId="0" applyNumberFormat="1" applyFill="1"/>
    <xf numFmtId="6" fontId="3" fillId="0" borderId="1" xfId="0" applyNumberFormat="1" applyFont="1" applyBorder="1" applyAlignment="1" applyProtection="1">
      <alignment horizontal="center" vertical="center"/>
    </xf>
    <xf numFmtId="0" fontId="6" fillId="5" borderId="0" xfId="0" applyFont="1" applyFill="1" applyBorder="1" applyAlignment="1" applyProtection="1">
      <alignment vertical="center" wrapText="1"/>
    </xf>
    <xf numFmtId="0" fontId="1" fillId="15"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11" borderId="11" xfId="0" applyNumberFormat="1" applyFont="1" applyFill="1" applyBorder="1" applyAlignment="1">
      <alignment vertical="center"/>
    </xf>
    <xf numFmtId="0" fontId="3" fillId="3" borderId="1" xfId="0" applyNumberFormat="1" applyFont="1" applyFill="1" applyBorder="1" applyAlignment="1" applyProtection="1">
      <alignment horizontal="center"/>
      <protection locked="0"/>
    </xf>
    <xf numFmtId="0" fontId="3" fillId="6" borderId="1" xfId="0" applyFont="1" applyFill="1" applyBorder="1" applyAlignment="1" applyProtection="1">
      <alignment horizontal="center" vertical="center"/>
    </xf>
    <xf numFmtId="49" fontId="3" fillId="16" borderId="1" xfId="0" applyNumberFormat="1" applyFont="1" applyFill="1" applyBorder="1" applyAlignment="1" applyProtection="1">
      <alignment horizontal="center" vertical="center" wrapText="1"/>
    </xf>
    <xf numFmtId="0" fontId="12" fillId="11" borderId="11" xfId="0" applyNumberFormat="1" applyFont="1" applyFill="1" applyBorder="1" applyAlignment="1">
      <alignment horizontal="left" vertical="center"/>
    </xf>
    <xf numFmtId="0" fontId="16" fillId="4" borderId="0" xfId="0" applyFont="1" applyFill="1" applyBorder="1" applyAlignment="1" applyProtection="1">
      <alignment horizontal="left" wrapText="1"/>
    </xf>
    <xf numFmtId="0" fontId="0" fillId="0" borderId="0" xfId="0" applyAlignment="1">
      <alignment wrapText="1"/>
    </xf>
    <xf numFmtId="0" fontId="0" fillId="0" borderId="0" xfId="0" applyFill="1" applyBorder="1"/>
    <xf numFmtId="0" fontId="20" fillId="0" borderId="0" xfId="0" applyFont="1" applyAlignment="1">
      <alignment horizontal="center" vertical="center" readingOrder="1"/>
    </xf>
    <xf numFmtId="0" fontId="0" fillId="0" borderId="0" xfId="0" applyFont="1"/>
    <xf numFmtId="172" fontId="0" fillId="0" borderId="0" xfId="3" applyNumberFormat="1" applyFont="1"/>
    <xf numFmtId="10" fontId="23" fillId="18" borderId="23" xfId="5" applyNumberFormat="1" applyFont="1"/>
    <xf numFmtId="0" fontId="4" fillId="0" borderId="1" xfId="0" applyFont="1" applyBorder="1" applyAlignment="1" applyProtection="1">
      <alignment horizontal="left" vertical="center" wrapText="1" indent="1"/>
    </xf>
    <xf numFmtId="10" fontId="3" fillId="3" borderId="1" xfId="3" applyNumberFormat="1" applyFont="1" applyFill="1" applyBorder="1" applyAlignment="1" applyProtection="1">
      <alignment horizontal="center" vertical="center"/>
      <protection locked="0"/>
    </xf>
    <xf numFmtId="49" fontId="3" fillId="3" borderId="1" xfId="3" applyNumberFormat="1" applyFont="1" applyFill="1" applyBorder="1" applyAlignment="1" applyProtection="1">
      <alignment horizontal="center" vertical="center"/>
      <protection locked="0"/>
    </xf>
    <xf numFmtId="10"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0" fontId="0" fillId="4" borderId="0" xfId="0" applyFill="1" applyProtection="1"/>
    <xf numFmtId="0" fontId="0" fillId="4" borderId="0" xfId="0" applyFill="1" applyBorder="1" applyProtection="1"/>
    <xf numFmtId="169" fontId="0" fillId="0" borderId="1" xfId="0" applyNumberFormat="1" applyFill="1" applyBorder="1"/>
    <xf numFmtId="0" fontId="0" fillId="0" borderId="0" xfId="0" applyProtection="1"/>
    <xf numFmtId="9" fontId="3" fillId="3" borderId="1" xfId="3" applyFont="1" applyFill="1" applyBorder="1" applyAlignment="1" applyProtection="1">
      <alignment horizontal="center"/>
    </xf>
    <xf numFmtId="0" fontId="0" fillId="6" borderId="1" xfId="0" applyFill="1" applyBorder="1"/>
    <xf numFmtId="165" fontId="0" fillId="6" borderId="1" xfId="2" applyNumberFormat="1" applyFont="1" applyFill="1" applyBorder="1"/>
    <xf numFmtId="168" fontId="0" fillId="6" borderId="1" xfId="0" applyNumberFormat="1" applyFill="1" applyBorder="1"/>
    <xf numFmtId="169" fontId="0" fillId="6" borderId="1" xfId="0" applyNumberFormat="1" applyFill="1" applyBorder="1"/>
    <xf numFmtId="44" fontId="0" fillId="6" borderId="1" xfId="0" applyNumberFormat="1" applyFill="1" applyBorder="1"/>
    <xf numFmtId="167" fontId="0" fillId="6" borderId="1" xfId="0" applyNumberFormat="1" applyFill="1" applyBorder="1"/>
    <xf numFmtId="0" fontId="3" fillId="3" borderId="1" xfId="0" applyNumberFormat="1" applyFont="1" applyFill="1" applyBorder="1" applyAlignment="1" applyProtection="1">
      <alignment horizontal="center"/>
      <protection locked="0"/>
    </xf>
    <xf numFmtId="1" fontId="3" fillId="3" borderId="1" xfId="0" applyNumberFormat="1" applyFont="1" applyFill="1" applyBorder="1" applyAlignment="1" applyProtection="1">
      <alignment horizontal="center"/>
      <protection locked="0"/>
    </xf>
    <xf numFmtId="0" fontId="1" fillId="0" borderId="0" xfId="0" applyFont="1"/>
    <xf numFmtId="0" fontId="0" fillId="0" borderId="0" xfId="0" applyAlignment="1">
      <alignment wrapText="1"/>
    </xf>
    <xf numFmtId="0" fontId="0" fillId="0" borderId="0" xfId="0" applyFill="1" applyBorder="1"/>
    <xf numFmtId="0" fontId="1" fillId="0" borderId="0" xfId="0" applyFont="1" applyFill="1" applyBorder="1"/>
    <xf numFmtId="0" fontId="0" fillId="0" borderId="1" xfId="0" applyBorder="1" applyProtection="1"/>
    <xf numFmtId="0" fontId="0" fillId="0" borderId="1" xfId="0" applyBorder="1" applyAlignment="1" applyProtection="1">
      <alignment wrapText="1"/>
    </xf>
    <xf numFmtId="8" fontId="0" fillId="0" borderId="1" xfId="0" applyNumberFormat="1" applyBorder="1"/>
    <xf numFmtId="176" fontId="0" fillId="0" borderId="1" xfId="1" applyNumberFormat="1" applyFont="1" applyBorder="1" applyProtection="1"/>
    <xf numFmtId="0" fontId="0" fillId="0" borderId="1" xfId="0" applyBorder="1"/>
    <xf numFmtId="174" fontId="0" fillId="0" borderId="1" xfId="2" applyNumberFormat="1" applyFont="1" applyBorder="1"/>
    <xf numFmtId="174" fontId="24" fillId="0" borderId="1" xfId="0" applyNumberFormat="1" applyFont="1" applyBorder="1" applyAlignment="1">
      <alignment vertical="center"/>
    </xf>
    <xf numFmtId="175" fontId="0" fillId="0" borderId="1" xfId="0" applyNumberFormat="1" applyBorder="1"/>
    <xf numFmtId="0" fontId="5" fillId="3" borderId="1" xfId="0" applyNumberFormat="1" applyFont="1" applyFill="1" applyBorder="1" applyAlignment="1" applyProtection="1">
      <alignment horizontal="center"/>
      <protection locked="0"/>
    </xf>
    <xf numFmtId="165" fontId="3" fillId="3" borderId="1" xfId="2" applyNumberFormat="1" applyFont="1" applyFill="1" applyBorder="1" applyAlignment="1" applyProtection="1"/>
    <xf numFmtId="170" fontId="3" fillId="3" borderId="1" xfId="0" applyNumberFormat="1" applyFont="1" applyFill="1" applyBorder="1" applyAlignment="1" applyProtection="1">
      <protection locked="0"/>
    </xf>
    <xf numFmtId="10" fontId="3" fillId="3" borderId="1" xfId="0" applyNumberFormat="1" applyFont="1" applyFill="1" applyBorder="1" applyAlignment="1" applyProtection="1">
      <alignment horizontal="right"/>
      <protection locked="0"/>
    </xf>
    <xf numFmtId="0" fontId="18" fillId="0" borderId="0" xfId="4" applyFill="1" applyBorder="1"/>
    <xf numFmtId="44" fontId="0" fillId="0" borderId="0" xfId="1" applyFont="1" applyFill="1" applyBorder="1"/>
    <xf numFmtId="10" fontId="3" fillId="19" borderId="1" xfId="0" applyNumberFormat="1" applyFont="1" applyFill="1" applyBorder="1" applyAlignment="1" applyProtection="1">
      <alignment horizontal="right"/>
    </xf>
    <xf numFmtId="0" fontId="0" fillId="0" borderId="0" xfId="0" applyBorder="1" applyProtection="1"/>
    <xf numFmtId="0" fontId="1" fillId="6" borderId="0" xfId="0" applyFont="1" applyFill="1"/>
    <xf numFmtId="0" fontId="0" fillId="6" borderId="0" xfId="0" applyFill="1"/>
    <xf numFmtId="0" fontId="1" fillId="6" borderId="1" xfId="0" applyFont="1" applyFill="1" applyBorder="1"/>
    <xf numFmtId="0" fontId="0" fillId="6" borderId="1" xfId="0" applyFill="1" applyBorder="1" applyAlignment="1">
      <alignment wrapText="1"/>
    </xf>
    <xf numFmtId="0" fontId="18" fillId="3" borderId="1" xfId="4" applyFill="1" applyBorder="1"/>
    <xf numFmtId="165" fontId="18" fillId="3" borderId="1" xfId="2" applyNumberFormat="1" applyFont="1" applyFill="1" applyBorder="1"/>
    <xf numFmtId="0" fontId="0" fillId="6" borderId="1" xfId="0" applyFill="1" applyBorder="1" applyAlignment="1"/>
    <xf numFmtId="0" fontId="1" fillId="0" borderId="0" xfId="0" applyFont="1" applyAlignment="1">
      <alignment wrapText="1"/>
    </xf>
    <xf numFmtId="0" fontId="1" fillId="0" borderId="0" xfId="0" applyFont="1" applyFill="1" applyBorder="1" applyAlignment="1">
      <alignment wrapText="1"/>
    </xf>
    <xf numFmtId="0" fontId="18" fillId="14" borderId="22" xfId="4" applyFill="1" applyAlignment="1">
      <alignment wrapText="1"/>
    </xf>
    <xf numFmtId="0" fontId="1" fillId="0" borderId="1" xfId="0" applyFont="1" applyBorder="1"/>
    <xf numFmtId="0" fontId="5" fillId="0" borderId="1" xfId="0" applyFont="1" applyBorder="1"/>
    <xf numFmtId="171" fontId="27" fillId="18" borderId="1" xfId="5" applyNumberFormat="1" applyFont="1" applyBorder="1"/>
    <xf numFmtId="44" fontId="0" fillId="20" borderId="1" xfId="1" applyFont="1" applyFill="1" applyBorder="1"/>
    <xf numFmtId="0" fontId="0" fillId="6" borderId="0" xfId="0" applyFill="1" applyBorder="1"/>
    <xf numFmtId="44" fontId="0" fillId="20" borderId="2" xfId="1" applyFont="1" applyFill="1" applyBorder="1"/>
    <xf numFmtId="0" fontId="1" fillId="20" borderId="1" xfId="0" applyFont="1" applyFill="1" applyBorder="1"/>
    <xf numFmtId="0" fontId="0" fillId="7" borderId="1" xfId="0" applyFill="1" applyBorder="1"/>
    <xf numFmtId="44" fontId="0" fillId="7" borderId="1" xfId="0" applyNumberFormat="1" applyFill="1" applyBorder="1"/>
    <xf numFmtId="0" fontId="0" fillId="7" borderId="1" xfId="0" applyNumberFormat="1" applyFill="1" applyBorder="1"/>
    <xf numFmtId="10" fontId="0" fillId="7" borderId="1" xfId="3" applyNumberFormat="1" applyFont="1" applyFill="1" applyBorder="1"/>
    <xf numFmtId="0" fontId="11" fillId="5" borderId="1" xfId="0" applyFont="1" applyFill="1" applyBorder="1" applyAlignment="1"/>
    <xf numFmtId="173" fontId="0" fillId="20" borderId="1" xfId="0" applyNumberFormat="1" applyFill="1" applyBorder="1"/>
    <xf numFmtId="1" fontId="0" fillId="20" borderId="1" xfId="0" applyNumberFormat="1" applyFill="1" applyBorder="1"/>
    <xf numFmtId="0" fontId="1" fillId="6" borderId="10" xfId="0" applyFont="1" applyFill="1" applyBorder="1"/>
    <xf numFmtId="0" fontId="0" fillId="6" borderId="10" xfId="0" applyFill="1" applyBorder="1" applyAlignment="1"/>
    <xf numFmtId="0" fontId="18" fillId="3" borderId="10" xfId="4" applyFill="1" applyBorder="1"/>
    <xf numFmtId="0" fontId="18" fillId="14" borderId="26" xfId="4" applyFill="1" applyBorder="1" applyAlignment="1">
      <alignment wrapText="1"/>
    </xf>
    <xf numFmtId="10" fontId="23" fillId="18" borderId="27" xfId="5" applyNumberFormat="1" applyFont="1" applyBorder="1"/>
    <xf numFmtId="44" fontId="0" fillId="20" borderId="10" xfId="1" applyFont="1" applyFill="1" applyBorder="1"/>
    <xf numFmtId="44" fontId="0" fillId="20" borderId="5" xfId="1" applyFont="1" applyFill="1" applyBorder="1"/>
    <xf numFmtId="0" fontId="0" fillId="7" borderId="10" xfId="0" applyFill="1" applyBorder="1"/>
    <xf numFmtId="44" fontId="0" fillId="7" borderId="10" xfId="0" applyNumberFormat="1" applyFill="1" applyBorder="1"/>
    <xf numFmtId="10" fontId="0" fillId="7" borderId="10" xfId="3" applyNumberFormat="1" applyFont="1" applyFill="1" applyBorder="1"/>
    <xf numFmtId="0" fontId="11" fillId="5" borderId="12" xfId="0" applyFont="1" applyFill="1" applyBorder="1" applyAlignment="1"/>
    <xf numFmtId="0" fontId="0" fillId="0" borderId="12" xfId="0" applyBorder="1"/>
    <xf numFmtId="0" fontId="0" fillId="6" borderId="12" xfId="0" applyFill="1" applyBorder="1"/>
    <xf numFmtId="0" fontId="0" fillId="6" borderId="12" xfId="0" applyFill="1" applyBorder="1" applyAlignment="1">
      <alignment horizontal="center"/>
    </xf>
    <xf numFmtId="0" fontId="1" fillId="0" borderId="0" xfId="0" applyFont="1" applyFill="1" applyBorder="1" applyAlignment="1">
      <alignment horizontal="left"/>
    </xf>
    <xf numFmtId="0" fontId="0" fillId="0" borderId="0" xfId="0" applyFill="1" applyBorder="1" applyAlignment="1"/>
    <xf numFmtId="171" fontId="23" fillId="0" borderId="0" xfId="5" applyNumberFormat="1" applyFont="1" applyFill="1" applyBorder="1"/>
    <xf numFmtId="0" fontId="18" fillId="0" borderId="0" xfId="4" applyFill="1" applyBorder="1" applyAlignment="1">
      <alignment wrapText="1"/>
    </xf>
    <xf numFmtId="10" fontId="23" fillId="0" borderId="0" xfId="5" applyNumberFormat="1" applyFont="1" applyFill="1" applyBorder="1"/>
    <xf numFmtId="44" fontId="0" fillId="0" borderId="0" xfId="0" applyNumberFormat="1" applyFill="1" applyBorder="1"/>
    <xf numFmtId="10" fontId="0" fillId="0" borderId="0" xfId="3" applyNumberFormat="1" applyFont="1" applyFill="1" applyBorder="1"/>
    <xf numFmtId="0" fontId="25" fillId="5" borderId="14" xfId="0" applyFont="1" applyFill="1" applyBorder="1"/>
    <xf numFmtId="0" fontId="26" fillId="5" borderId="16" xfId="0" applyFont="1" applyFill="1" applyBorder="1"/>
    <xf numFmtId="0" fontId="26" fillId="5" borderId="15" xfId="0" applyFont="1" applyFill="1" applyBorder="1"/>
    <xf numFmtId="0" fontId="0" fillId="20" borderId="1" xfId="0" applyFill="1" applyBorder="1"/>
    <xf numFmtId="0" fontId="0" fillId="20" borderId="1" xfId="0" applyFill="1" applyBorder="1" applyAlignment="1"/>
    <xf numFmtId="2" fontId="0" fillId="0" borderId="0" xfId="0" applyNumberFormat="1"/>
    <xf numFmtId="3" fontId="18" fillId="3" borderId="1" xfId="4" applyNumberFormat="1" applyFill="1" applyBorder="1"/>
    <xf numFmtId="0" fontId="3" fillId="6" borderId="0" xfId="0" applyFont="1" applyFill="1" applyBorder="1" applyAlignment="1" applyProtection="1">
      <alignment horizontal="left"/>
    </xf>
    <xf numFmtId="0" fontId="13" fillId="6" borderId="0" xfId="0" applyFont="1" applyFill="1" applyBorder="1" applyAlignment="1" applyProtection="1">
      <alignment horizontal="left"/>
    </xf>
    <xf numFmtId="0" fontId="1" fillId="6" borderId="0" xfId="0" applyFont="1" applyFill="1" applyBorder="1" applyAlignment="1" applyProtection="1">
      <alignment horizontal="left" wrapText="1"/>
    </xf>
    <xf numFmtId="0" fontId="17" fillId="6" borderId="5" xfId="0" applyFont="1" applyFill="1" applyBorder="1" applyAlignment="1" applyProtection="1">
      <alignment vertical="center"/>
    </xf>
    <xf numFmtId="0" fontId="17" fillId="6" borderId="6" xfId="0" applyFont="1" applyFill="1" applyBorder="1" applyAlignment="1" applyProtection="1">
      <alignment vertical="center"/>
    </xf>
    <xf numFmtId="0" fontId="17" fillId="6" borderId="7" xfId="0" applyFont="1" applyFill="1" applyBorder="1" applyAlignment="1" applyProtection="1">
      <alignment vertical="center"/>
    </xf>
    <xf numFmtId="0" fontId="7" fillId="6" borderId="8" xfId="0" applyFont="1" applyFill="1" applyBorder="1" applyAlignment="1" applyProtection="1">
      <alignment vertical="center"/>
    </xf>
    <xf numFmtId="0" fontId="7" fillId="6" borderId="4" xfId="0" applyFont="1" applyFill="1" applyBorder="1" applyAlignment="1" applyProtection="1">
      <alignment vertical="center"/>
    </xf>
    <xf numFmtId="0" fontId="7" fillId="6" borderId="9" xfId="0" applyFont="1" applyFill="1" applyBorder="1" applyAlignment="1" applyProtection="1">
      <alignment vertical="center"/>
    </xf>
    <xf numFmtId="0" fontId="5" fillId="0" borderId="10" xfId="0" applyFont="1" applyBorder="1" applyAlignment="1" applyProtection="1">
      <alignment vertical="center" wrapText="1"/>
    </xf>
    <xf numFmtId="0" fontId="5" fillId="0" borderId="11" xfId="0" applyFont="1" applyBorder="1" applyAlignment="1" applyProtection="1">
      <alignment vertical="center" wrapText="1"/>
    </xf>
    <xf numFmtId="0" fontId="5" fillId="0" borderId="12" xfId="0" applyFont="1" applyBorder="1" applyAlignment="1" applyProtection="1">
      <alignment vertical="center" wrapText="1"/>
    </xf>
    <xf numFmtId="0" fontId="6" fillId="5" borderId="14" xfId="0" applyFont="1" applyFill="1" applyBorder="1" applyAlignment="1" applyProtection="1">
      <alignment vertical="center"/>
    </xf>
    <xf numFmtId="0" fontId="6" fillId="5" borderId="16" xfId="0" applyFont="1" applyFill="1" applyBorder="1" applyAlignment="1" applyProtection="1">
      <alignment vertical="center"/>
    </xf>
    <xf numFmtId="0" fontId="6" fillId="5" borderId="15" xfId="0" applyFont="1" applyFill="1" applyBorder="1" applyAlignment="1" applyProtection="1">
      <alignment vertical="center"/>
    </xf>
    <xf numFmtId="0" fontId="0" fillId="4" borderId="17"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0" fillId="4" borderId="18" xfId="0" applyFont="1" applyFill="1" applyBorder="1" applyAlignment="1" applyProtection="1">
      <alignment horizontal="left" vertical="center" wrapText="1"/>
    </xf>
    <xf numFmtId="0" fontId="28" fillId="0" borderId="10" xfId="0" applyFont="1" applyBorder="1" applyAlignment="1" applyProtection="1">
      <alignment vertical="center" wrapText="1"/>
    </xf>
    <xf numFmtId="0" fontId="28" fillId="0" borderId="11" xfId="0" applyFont="1" applyBorder="1" applyAlignment="1" applyProtection="1">
      <alignment vertical="center" wrapText="1"/>
    </xf>
    <xf numFmtId="0" fontId="28" fillId="0" borderId="12" xfId="0" applyFont="1" applyBorder="1" applyAlignment="1" applyProtection="1">
      <alignment vertical="center" wrapText="1"/>
    </xf>
    <xf numFmtId="0" fontId="30" fillId="4" borderId="19" xfId="0" applyFont="1" applyFill="1" applyBorder="1" applyAlignment="1" applyProtection="1">
      <alignment horizontal="left" vertical="center" wrapText="1"/>
    </xf>
    <xf numFmtId="0" fontId="30" fillId="4" borderId="20" xfId="0" applyFont="1" applyFill="1" applyBorder="1" applyAlignment="1" applyProtection="1">
      <alignment horizontal="left" vertical="center" wrapText="1"/>
    </xf>
    <xf numFmtId="0" fontId="30" fillId="4" borderId="21" xfId="0" applyFont="1" applyFill="1" applyBorder="1" applyAlignment="1" applyProtection="1">
      <alignment horizontal="left" vertical="center" wrapText="1"/>
    </xf>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2" xfId="0" applyFont="1" applyFill="1" applyBorder="1" applyAlignment="1" applyProtection="1">
      <alignment vertical="center"/>
    </xf>
    <xf numFmtId="0" fontId="6" fillId="5" borderId="10" xfId="0" applyFont="1" applyFill="1" applyBorder="1" applyAlignment="1" applyProtection="1">
      <alignment vertical="center" wrapText="1"/>
    </xf>
    <xf numFmtId="0" fontId="6" fillId="5" borderId="11" xfId="0" applyFont="1" applyFill="1" applyBorder="1" applyAlignment="1" applyProtection="1">
      <alignment vertical="center" wrapText="1"/>
    </xf>
    <xf numFmtId="0" fontId="6" fillId="5" borderId="12" xfId="0" applyFont="1" applyFill="1" applyBorder="1" applyAlignment="1" applyProtection="1">
      <alignment vertical="center" wrapText="1"/>
    </xf>
    <xf numFmtId="0" fontId="1" fillId="4" borderId="24"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1" fillId="4" borderId="25" xfId="0" applyFont="1" applyFill="1" applyBorder="1" applyAlignment="1" applyProtection="1">
      <alignment horizontal="left" vertical="center" wrapText="1"/>
    </xf>
    <xf numFmtId="0" fontId="0" fillId="4" borderId="24" xfId="0" applyFont="1" applyFill="1" applyBorder="1" applyAlignment="1" applyProtection="1">
      <alignment horizontal="left" vertical="center" wrapText="1"/>
    </xf>
    <xf numFmtId="0" fontId="0" fillId="4" borderId="11" xfId="0" applyFont="1" applyFill="1" applyBorder="1" applyAlignment="1" applyProtection="1">
      <alignment horizontal="left" vertical="center" wrapText="1"/>
    </xf>
    <xf numFmtId="0" fontId="0" fillId="4" borderId="25" xfId="0" applyFont="1" applyFill="1" applyBorder="1" applyAlignment="1" applyProtection="1">
      <alignment horizontal="left" vertical="center" wrapText="1"/>
    </xf>
    <xf numFmtId="0" fontId="3" fillId="14" borderId="1" xfId="0" applyFont="1" applyFill="1" applyBorder="1" applyAlignment="1" applyProtection="1">
      <alignment horizontal="center" vertical="center" textRotation="90" wrapText="1"/>
    </xf>
    <xf numFmtId="0" fontId="6" fillId="5" borderId="13" xfId="0" applyFont="1" applyFill="1" applyBorder="1" applyAlignment="1" applyProtection="1">
      <alignment vertical="center" wrapText="1"/>
    </xf>
    <xf numFmtId="0" fontId="6" fillId="5" borderId="0" xfId="0" applyFont="1" applyFill="1" applyBorder="1" applyAlignment="1" applyProtection="1">
      <alignment vertical="center" wrapText="1"/>
    </xf>
    <xf numFmtId="0" fontId="9"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left" vertical="center" wrapText="1"/>
    </xf>
    <xf numFmtId="0" fontId="31" fillId="5" borderId="8" xfId="0" applyFont="1" applyFill="1" applyBorder="1" applyAlignment="1" applyProtection="1">
      <alignment horizontal="center" vertical="center" wrapText="1"/>
    </xf>
    <xf numFmtId="0" fontId="31" fillId="5" borderId="4" xfId="0" applyFont="1" applyFill="1" applyBorder="1" applyAlignment="1" applyProtection="1">
      <alignment horizontal="center" vertical="center" wrapText="1"/>
    </xf>
    <xf numFmtId="0" fontId="8" fillId="0" borderId="0" xfId="0" applyFont="1" applyBorder="1" applyAlignment="1" applyProtection="1">
      <alignment horizontal="left" vertical="center" wrapText="1" indent="2"/>
    </xf>
    <xf numFmtId="0" fontId="7" fillId="0" borderId="0" xfId="0" applyFont="1" applyBorder="1" applyAlignment="1" applyProtection="1">
      <alignment horizontal="left" vertical="center" wrapText="1" indent="2"/>
    </xf>
    <xf numFmtId="0" fontId="8" fillId="4" borderId="6" xfId="0" applyFont="1" applyFill="1" applyBorder="1" applyAlignment="1" applyProtection="1">
      <alignment horizontal="left" vertical="center" wrapText="1" indent="2"/>
    </xf>
    <xf numFmtId="0" fontId="7" fillId="4" borderId="0" xfId="0" applyFont="1" applyFill="1" applyBorder="1" applyAlignment="1" applyProtection="1">
      <alignment horizontal="left" vertical="center" wrapText="1" indent="2"/>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25" fillId="5" borderId="0" xfId="0" applyFont="1" applyFill="1" applyAlignment="1">
      <alignment horizontal="left"/>
    </xf>
    <xf numFmtId="0" fontId="0" fillId="20" borderId="10" xfId="0" applyFill="1" applyBorder="1" applyAlignment="1">
      <alignment horizontal="left"/>
    </xf>
    <xf numFmtId="0" fontId="0" fillId="20" borderId="11" xfId="0" applyFill="1" applyBorder="1" applyAlignment="1">
      <alignment horizontal="left"/>
    </xf>
    <xf numFmtId="0" fontId="0" fillId="20" borderId="12" xfId="0" applyFill="1" applyBorder="1" applyAlignment="1">
      <alignment horizontal="left"/>
    </xf>
    <xf numFmtId="0" fontId="31" fillId="5" borderId="1" xfId="0" applyFont="1" applyFill="1" applyBorder="1" applyAlignment="1" applyProtection="1">
      <alignment vertical="center" wrapText="1"/>
    </xf>
  </cellXfs>
  <cellStyles count="6">
    <cellStyle name="Comma" xfId="2" builtinId="3"/>
    <cellStyle name="Currency" xfId="1" builtinId="4"/>
    <cellStyle name="Input" xfId="4" builtinId="20"/>
    <cellStyle name="Normal" xfId="0" builtinId="0"/>
    <cellStyle name="Output" xfId="5" builtinId="21"/>
    <cellStyle name="Percent" xfId="3" builtinId="5"/>
  </cellStyles>
  <dxfs count="0"/>
  <tableStyles count="0" defaultTableStyle="TableStyleMedium2" defaultPivotStyle="PivotStyleLight16"/>
  <colors>
    <mruColors>
      <color rgb="FF005397"/>
      <color rgb="FFFF7C80"/>
      <color rgb="FFE4B53A"/>
      <color rgb="FF5A8B25"/>
      <color rgb="FF6BA42C"/>
      <color rgb="FF72AF2F"/>
      <color rgb="FFF3C3EA"/>
      <color rgb="FF99FF99"/>
      <color rgb="FF86A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7504004971021"/>
          <c:y val="0.19438004934067926"/>
          <c:w val="0.81732402228002043"/>
          <c:h val="0.59776910769036751"/>
        </c:manualLayout>
      </c:layout>
      <c:lineChart>
        <c:grouping val="standard"/>
        <c:varyColors val="0"/>
        <c:ser>
          <c:idx val="1"/>
          <c:order val="0"/>
          <c:tx>
            <c:strRef>
              <c:f>Summary!$D$24</c:f>
              <c:strCache>
                <c:ptCount val="1"/>
                <c:pt idx="0">
                  <c:v>EXAMPLE SITE 1</c:v>
                </c:pt>
              </c:strCache>
            </c:strRef>
          </c:tx>
          <c:marker>
            <c:symbol val="none"/>
          </c:marker>
          <c:val>
            <c:numRef>
              <c:f>'Example Site 1'!$M$3:$M$32</c:f>
              <c:numCache>
                <c:formatCode>"$"#,##0</c:formatCode>
                <c:ptCount val="30"/>
                <c:pt idx="0">
                  <c:v>1980.4508260000002</c:v>
                </c:pt>
                <c:pt idx="1">
                  <c:v>1837.1271409415133</c:v>
                </c:pt>
                <c:pt idx="2">
                  <c:v>1696.9030506073843</c:v>
                </c:pt>
                <c:pt idx="3">
                  <c:v>1559.6660286315882</c:v>
                </c:pt>
                <c:pt idx="4">
                  <c:v>1425.3072161175546</c:v>
                </c:pt>
                <c:pt idx="5">
                  <c:v>1293.7212963373395</c:v>
                </c:pt>
                <c:pt idx="6">
                  <c:v>1164.8063736748009</c:v>
                </c:pt>
                <c:pt idx="7">
                  <c:v>1038.463856668478</c:v>
                </c:pt>
                <c:pt idx="8">
                  <c:v>914.59834501482715</c:v>
                </c:pt>
                <c:pt idx="9">
                  <c:v>793.11752039714031</c:v>
                </c:pt>
                <c:pt idx="10">
                  <c:v>-1277.4370923957313</c:v>
                </c:pt>
                <c:pt idx="11">
                  <c:v>-1328.1050338784319</c:v>
                </c:pt>
                <c:pt idx="12">
                  <c:v>-1378.9009952689626</c:v>
                </c:pt>
                <c:pt idx="13">
                  <c:v>2011.1295286422053</c:v>
                </c:pt>
                <c:pt idx="14">
                  <c:v>1992.7198832433671</c:v>
                </c:pt>
                <c:pt idx="15">
                  <c:v>1974.4787575936971</c:v>
                </c:pt>
                <c:pt idx="16">
                  <c:v>1956.404609083045</c:v>
                </c:pt>
                <c:pt idx="17">
                  <c:v>1938.4959092221327</c:v>
                </c:pt>
                <c:pt idx="18">
                  <c:v>1920.7511435132969</c:v>
                </c:pt>
                <c:pt idx="19">
                  <c:v>1903.1688113224084</c:v>
                </c:pt>
                <c:pt idx="20">
                  <c:v>1885.7474257519684</c:v>
                </c:pt>
                <c:pt idx="21">
                  <c:v>1868.4855135153643</c:v>
                </c:pt>
                <c:pt idx="22">
                  <c:v>1851.3816148122773</c:v>
                </c:pt>
                <c:pt idx="23">
                  <c:v>1834.4342832052312</c:v>
                </c:pt>
                <c:pt idx="24">
                  <c:v>1817.6420854972698</c:v>
                </c:pt>
                <c:pt idx="25">
                  <c:v>1801.0036016107542</c:v>
                </c:pt>
                <c:pt idx="26">
                  <c:v>1784.5174244672717</c:v>
                </c:pt>
                <c:pt idx="27">
                  <c:v>1768.1821598686411</c:v>
                </c:pt>
                <c:pt idx="28">
                  <c:v>1751.9964263790087</c:v>
                </c:pt>
                <c:pt idx="29">
                  <c:v>1735.958855208024</c:v>
                </c:pt>
              </c:numCache>
            </c:numRef>
          </c:val>
          <c:smooth val="0"/>
          <c:extLst>
            <c:ext xmlns:c16="http://schemas.microsoft.com/office/drawing/2014/chart" uri="{C3380CC4-5D6E-409C-BE32-E72D297353CC}">
              <c16:uniqueId val="{00000000-2A10-43FD-AF72-D1601B3D2E87}"/>
            </c:ext>
          </c:extLst>
        </c:ser>
        <c:ser>
          <c:idx val="0"/>
          <c:order val="1"/>
          <c:tx>
            <c:strRef>
              <c:f>Summary!$E$24</c:f>
              <c:strCache>
                <c:ptCount val="1"/>
                <c:pt idx="0">
                  <c:v>EXAMPLE SITE 2</c:v>
                </c:pt>
              </c:strCache>
            </c:strRef>
          </c:tx>
          <c:marker>
            <c:symbol val="none"/>
          </c:marker>
          <c:val>
            <c:numRef>
              <c:f>'Example Site 2'!$M$3:$M$32</c:f>
              <c:numCache>
                <c:formatCode>"$"#,##0</c:formatCode>
                <c:ptCount val="30"/>
                <c:pt idx="0">
                  <c:v>3421.9022559999994</c:v>
                </c:pt>
                <c:pt idx="1">
                  <c:v>3329.7187919639996</c:v>
                </c:pt>
                <c:pt idx="2">
                  <c:v>3241.5738273455459</c:v>
                </c:pt>
                <c:pt idx="3">
                  <c:v>3157.3053213358044</c:v>
                </c:pt>
                <c:pt idx="4">
                  <c:v>3076.7572086101068</c:v>
                </c:pt>
                <c:pt idx="5">
                  <c:v>2999.7791884323824</c:v>
                </c:pt>
                <c:pt idx="6">
                  <c:v>-974.71903117950626</c:v>
                </c:pt>
                <c:pt idx="7">
                  <c:v>-912.42931884094401</c:v>
                </c:pt>
                <c:pt idx="8">
                  <c:v>-851.49217348866409</c:v>
                </c:pt>
                <c:pt idx="9">
                  <c:v>-791.88374412412509</c:v>
                </c:pt>
                <c:pt idx="10">
                  <c:v>-733.58056622692277</c:v>
                </c:pt>
                <c:pt idx="11">
                  <c:v>-676.55955575192081</c:v>
                </c:pt>
                <c:pt idx="12">
                  <c:v>-620.79800321747041</c:v>
                </c:pt>
                <c:pt idx="13">
                  <c:v>-566.2735678833526</c:v>
                </c:pt>
                <c:pt idx="14">
                  <c:v>-512.96427201710117</c:v>
                </c:pt>
                <c:pt idx="15">
                  <c:v>-460.84849524738041</c:v>
                </c:pt>
                <c:pt idx="16">
                  <c:v>-409.90496900312525</c:v>
                </c:pt>
                <c:pt idx="17">
                  <c:v>-360.11277103714514</c:v>
                </c:pt>
                <c:pt idx="18">
                  <c:v>-311.45132003293202</c:v>
                </c:pt>
                <c:pt idx="19">
                  <c:v>-263.90037029343057</c:v>
                </c:pt>
                <c:pt idx="20">
                  <c:v>-217.4400065105371</c:v>
                </c:pt>
                <c:pt idx="21">
                  <c:v>-172.05063861411313</c:v>
                </c:pt>
                <c:pt idx="22">
                  <c:v>-127.71299669933796</c:v>
                </c:pt>
                <c:pt idx="23">
                  <c:v>-84.408126031202443</c:v>
                </c:pt>
                <c:pt idx="24">
                  <c:v>-42.117382125013563</c:v>
                </c:pt>
                <c:pt idx="25">
                  <c:v>7319.8103787394693</c:v>
                </c:pt>
                <c:pt idx="26">
                  <c:v>7252.8056873259302</c:v>
                </c:pt>
                <c:pt idx="27">
                  <c:v>7186.4143490512197</c:v>
                </c:pt>
                <c:pt idx="28">
                  <c:v>7120.6307493521626</c:v>
                </c:pt>
                <c:pt idx="29">
                  <c:v>7055.4493250606429</c:v>
                </c:pt>
              </c:numCache>
            </c:numRef>
          </c:val>
          <c:smooth val="0"/>
          <c:extLst>
            <c:ext xmlns:c16="http://schemas.microsoft.com/office/drawing/2014/chart" uri="{C3380CC4-5D6E-409C-BE32-E72D297353CC}">
              <c16:uniqueId val="{00000000-D1AF-4FBB-8705-426FFBBF5ED0}"/>
            </c:ext>
          </c:extLst>
        </c:ser>
        <c:ser>
          <c:idx val="3"/>
          <c:order val="2"/>
          <c:tx>
            <c:strRef>
              <c:f>Summary!$F$24</c:f>
              <c:strCache>
                <c:ptCount val="1"/>
                <c:pt idx="0">
                  <c:v>EXAMPLE SITE 3</c:v>
                </c:pt>
              </c:strCache>
            </c:strRef>
          </c:tx>
          <c:marker>
            <c:symbol val="none"/>
          </c:marker>
          <c:val>
            <c:numRef>
              <c:f>'Example Site 3'!$M$3:$M$32</c:f>
              <c:numCache>
                <c:formatCode>"$"#,##0</c:formatCode>
                <c:ptCount val="30"/>
                <c:pt idx="0">
                  <c:v>6238.2559288000011</c:v>
                </c:pt>
                <c:pt idx="1">
                  <c:v>6158.8694957041434</c:v>
                </c:pt>
                <c:pt idx="2">
                  <c:v>6086.117409899548</c:v>
                </c:pt>
                <c:pt idx="3">
                  <c:v>6019.6427867319871</c:v>
                </c:pt>
                <c:pt idx="4">
                  <c:v>5959.1038393184326</c:v>
                </c:pt>
                <c:pt idx="5">
                  <c:v>5904.1733055837676</c:v>
                </c:pt>
                <c:pt idx="6">
                  <c:v>-5782.6889112437821</c:v>
                </c:pt>
                <c:pt idx="7">
                  <c:v>-5431.8893005307664</c:v>
                </c:pt>
                <c:pt idx="8">
                  <c:v>-5089.8186110081424</c:v>
                </c:pt>
                <c:pt idx="9">
                  <c:v>-4756.2947269876649</c:v>
                </c:pt>
                <c:pt idx="10">
                  <c:v>-4431.1390932527393</c:v>
                </c:pt>
                <c:pt idx="11">
                  <c:v>-4114.176647392308</c:v>
                </c:pt>
                <c:pt idx="12">
                  <c:v>-3805.2357534038379</c:v>
                </c:pt>
                <c:pt idx="13">
                  <c:v>-3504.1481365418886</c:v>
                </c:pt>
                <c:pt idx="14">
                  <c:v>-3210.7488193887898</c:v>
                </c:pt>
                <c:pt idx="15">
                  <c:v>-2924.8760591249334</c:v>
                </c:pt>
                <c:pt idx="16">
                  <c:v>-2646.3712859760849</c:v>
                </c:pt>
                <c:pt idx="17">
                  <c:v>-2375.0790428159371</c:v>
                </c:pt>
                <c:pt idx="18">
                  <c:v>-2110.8469259022759</c:v>
                </c:pt>
                <c:pt idx="19">
                  <c:v>-1853.5255267256418</c:v>
                </c:pt>
                <c:pt idx="20">
                  <c:v>22863.798446670222</c:v>
                </c:pt>
                <c:pt idx="21">
                  <c:v>22654.505899432916</c:v>
                </c:pt>
                <c:pt idx="22">
                  <c:v>22447.12919178942</c:v>
                </c:pt>
                <c:pt idx="23">
                  <c:v>22241.650786367296</c:v>
                </c:pt>
                <c:pt idx="24">
                  <c:v>22038.05330632918</c:v>
                </c:pt>
                <c:pt idx="25">
                  <c:v>21836.319533903235</c:v>
                </c:pt>
                <c:pt idx="26">
                  <c:v>21636.43240892711</c:v>
                </c:pt>
                <c:pt idx="27">
                  <c:v>21438.3750274052</c:v>
                </c:pt>
                <c:pt idx="28">
                  <c:v>21242.130640079096</c:v>
                </c:pt>
                <c:pt idx="29">
                  <c:v>21047.68265101115</c:v>
                </c:pt>
              </c:numCache>
            </c:numRef>
          </c:val>
          <c:smooth val="0"/>
          <c:extLst>
            <c:ext xmlns:c16="http://schemas.microsoft.com/office/drawing/2014/chart" uri="{C3380CC4-5D6E-409C-BE32-E72D297353CC}">
              <c16:uniqueId val="{00000001-D1AF-4FBB-8705-426FFBBF5ED0}"/>
            </c:ext>
          </c:extLst>
        </c:ser>
        <c:ser>
          <c:idx val="4"/>
          <c:order val="3"/>
          <c:tx>
            <c:strRef>
              <c:f>Summary!$G$24</c:f>
              <c:strCache>
                <c:ptCount val="1"/>
                <c:pt idx="0">
                  <c:v>SITE 4</c:v>
                </c:pt>
              </c:strCache>
            </c:strRef>
          </c:tx>
          <c:marker>
            <c:symbol val="none"/>
          </c:marker>
          <c:val>
            <c:numRef>
              <c:f>'Site 4'!$M$3:$M$32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2-D1AF-4FBB-8705-426FFBBF5ED0}"/>
            </c:ext>
          </c:extLst>
        </c:ser>
        <c:ser>
          <c:idx val="5"/>
          <c:order val="4"/>
          <c:tx>
            <c:strRef>
              <c:f>Summary!$H$24</c:f>
              <c:strCache>
                <c:ptCount val="1"/>
                <c:pt idx="0">
                  <c:v>SITE 5</c:v>
                </c:pt>
              </c:strCache>
            </c:strRef>
          </c:tx>
          <c:marker>
            <c:symbol val="none"/>
          </c:marker>
          <c:val>
            <c:numRef>
              <c:f>'Site 5'!$M$3:$M$32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D1AF-4FBB-8705-426FFBBF5ED0}"/>
            </c:ext>
          </c:extLst>
        </c:ser>
        <c:ser>
          <c:idx val="6"/>
          <c:order val="5"/>
          <c:tx>
            <c:strRef>
              <c:f>Summary!$I$24</c:f>
              <c:strCache>
                <c:ptCount val="1"/>
                <c:pt idx="0">
                  <c:v>SITE 6</c:v>
                </c:pt>
              </c:strCache>
            </c:strRef>
          </c:tx>
          <c:marker>
            <c:symbol val="none"/>
          </c:marker>
          <c:val>
            <c:numRef>
              <c:f>'Site 6'!$M$3:$M$32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4-D1AF-4FBB-8705-426FFBBF5ED0}"/>
            </c:ext>
          </c:extLst>
        </c:ser>
        <c:ser>
          <c:idx val="7"/>
          <c:order val="6"/>
          <c:tx>
            <c:strRef>
              <c:f>Summary!$J$24</c:f>
              <c:strCache>
                <c:ptCount val="1"/>
                <c:pt idx="0">
                  <c:v>SITE 7</c:v>
                </c:pt>
              </c:strCache>
            </c:strRef>
          </c:tx>
          <c:marker>
            <c:symbol val="none"/>
          </c:marker>
          <c:val>
            <c:numRef>
              <c:f>'Site 7'!$M$3:$M$32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5-D1AF-4FBB-8705-426FFBBF5ED0}"/>
            </c:ext>
          </c:extLst>
        </c:ser>
        <c:ser>
          <c:idx val="8"/>
          <c:order val="7"/>
          <c:tx>
            <c:strRef>
              <c:f>Summary!$K$24</c:f>
              <c:strCache>
                <c:ptCount val="1"/>
                <c:pt idx="0">
                  <c:v>SITE 8</c:v>
                </c:pt>
              </c:strCache>
              <c:extLst xmlns:c15="http://schemas.microsoft.com/office/drawing/2012/chart"/>
            </c:strRef>
          </c:tx>
          <c:marker>
            <c:symbol val="none"/>
          </c:marker>
          <c:val>
            <c:numRef>
              <c:f>'Site 8'!$M$3:$M$32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D1AF-4FBB-8705-426FFBBF5ED0}"/>
            </c:ext>
          </c:extLst>
        </c:ser>
        <c:dLbls>
          <c:showLegendKey val="0"/>
          <c:showVal val="0"/>
          <c:showCatName val="0"/>
          <c:showSerName val="0"/>
          <c:showPercent val="0"/>
          <c:showBubbleSize val="0"/>
        </c:dLbls>
        <c:smooth val="0"/>
        <c:axId val="559034712"/>
        <c:axId val="559035104"/>
        <c:extLst/>
      </c:lineChart>
      <c:catAx>
        <c:axId val="559034712"/>
        <c:scaling>
          <c:orientation val="minMax"/>
        </c:scaling>
        <c:delete val="0"/>
        <c:axPos val="b"/>
        <c:title>
          <c:tx>
            <c:rich>
              <a:bodyPr/>
              <a:lstStyle/>
              <a:p>
                <a:pPr>
                  <a:defRPr/>
                </a:pPr>
                <a:r>
                  <a:rPr lang="en-US"/>
                  <a:t>Year</a:t>
                </a:r>
              </a:p>
            </c:rich>
          </c:tx>
          <c:overlay val="0"/>
        </c:title>
        <c:majorTickMark val="out"/>
        <c:minorTickMark val="none"/>
        <c:tickLblPos val="nextTo"/>
        <c:crossAx val="559035104"/>
        <c:crosses val="autoZero"/>
        <c:auto val="1"/>
        <c:lblAlgn val="ctr"/>
        <c:lblOffset val="100"/>
        <c:noMultiLvlLbl val="0"/>
      </c:catAx>
      <c:valAx>
        <c:axId val="559035104"/>
        <c:scaling>
          <c:orientation val="minMax"/>
        </c:scaling>
        <c:delete val="0"/>
        <c:axPos val="l"/>
        <c:majorGridlines/>
        <c:numFmt formatCode="_(&quot;$&quot;* #,##0.00_);_(&quot;$&quot;* \(#,##0.00\);_(&quot;$&quot;* &quot;-&quot;??_);_(@_)" sourceLinked="0"/>
        <c:majorTickMark val="none"/>
        <c:minorTickMark val="none"/>
        <c:tickLblPos val="nextTo"/>
        <c:crossAx val="559034712"/>
        <c:crosses val="autoZero"/>
        <c:crossBetween val="between"/>
      </c:valAx>
    </c:plotArea>
    <c:legend>
      <c:legendPos val="b"/>
      <c:layout>
        <c:manualLayout>
          <c:xMode val="edge"/>
          <c:yMode val="edge"/>
          <c:x val="0.21554954048427241"/>
          <c:y val="0.90540960851032481"/>
          <c:w val="0.59802255842827046"/>
          <c:h val="4.1673868510338649E-2"/>
        </c:manualLayout>
      </c:layout>
      <c:overlay val="0"/>
    </c:legend>
    <c:plotVisOnly val="1"/>
    <c:dispBlanksAs val="gap"/>
    <c:showDLblsOverMax val="0"/>
  </c:chart>
  <c:spPr>
    <a:ln w="9525">
      <a:solidFill>
        <a:schemeClr val="tx1"/>
      </a:solidFill>
    </a:ln>
  </c:spPr>
  <c:txPr>
    <a:bodyPr/>
    <a:lstStyle/>
    <a:p>
      <a:pPr>
        <a:defRPr sz="1200" b="1"/>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'[1]decision support'!$V$1</c:f>
              <c:strCache>
                <c:ptCount val="1"/>
                <c:pt idx="0">
                  <c:v>Apr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4"/>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support'!$V$2:$V$101</c:f>
              <c:numCache>
                <c:formatCode>General</c:formatCode>
                <c:ptCount val="100"/>
                <c:pt idx="0">
                  <c:v>-5.4558409257341178E-2</c:v>
                </c:pt>
                <c:pt idx="1">
                  <c:v>-6.0269038178615515E-2</c:v>
                </c:pt>
                <c:pt idx="2">
                  <c:v>-6.5979667099889852E-2</c:v>
                </c:pt>
                <c:pt idx="3">
                  <c:v>-7.1690296021164196E-2</c:v>
                </c:pt>
                <c:pt idx="4">
                  <c:v>-7.740092494243854E-2</c:v>
                </c:pt>
                <c:pt idx="5">
                  <c:v>-8.311155386371287E-2</c:v>
                </c:pt>
                <c:pt idx="6">
                  <c:v>-8.8822182784987214E-2</c:v>
                </c:pt>
                <c:pt idx="7">
                  <c:v>-9.4532811706261557E-2</c:v>
                </c:pt>
                <c:pt idx="8">
                  <c:v>-0.1002434406275359</c:v>
                </c:pt>
                <c:pt idx="9">
                  <c:v>-0.10595406954881023</c:v>
                </c:pt>
                <c:pt idx="10">
                  <c:v>-0.11166469847008458</c:v>
                </c:pt>
                <c:pt idx="11">
                  <c:v>-0.11737400792996301</c:v>
                </c:pt>
                <c:pt idx="12">
                  <c:v>-0.12308463685123736</c:v>
                </c:pt>
                <c:pt idx="13">
                  <c:v>-0.12879526577251169</c:v>
                </c:pt>
                <c:pt idx="14">
                  <c:v>-0.13450589469378604</c:v>
                </c:pt>
                <c:pt idx="15">
                  <c:v>-0.14021652361506037</c:v>
                </c:pt>
                <c:pt idx="16">
                  <c:v>-0.1459271525363347</c:v>
                </c:pt>
                <c:pt idx="17">
                  <c:v>-0.15083554892892725</c:v>
                </c:pt>
                <c:pt idx="18">
                  <c:v>-0.15282133832969377</c:v>
                </c:pt>
                <c:pt idx="19">
                  <c:v>-0.15480712773046049</c:v>
                </c:pt>
                <c:pt idx="20">
                  <c:v>-0.15679423659262293</c:v>
                </c:pt>
                <c:pt idx="21">
                  <c:v>-0.15878002599338945</c:v>
                </c:pt>
                <c:pt idx="22">
                  <c:v>-0.16076713485555197</c:v>
                </c:pt>
                <c:pt idx="23">
                  <c:v>-0.1627529242563186</c:v>
                </c:pt>
                <c:pt idx="24">
                  <c:v>-0.16474003311848101</c:v>
                </c:pt>
                <c:pt idx="25">
                  <c:v>-0.16490892417715086</c:v>
                </c:pt>
                <c:pt idx="26">
                  <c:v>-0.16490892417715086</c:v>
                </c:pt>
                <c:pt idx="27">
                  <c:v>-0.16490892417715086</c:v>
                </c:pt>
                <c:pt idx="28">
                  <c:v>-0.16490892417715086</c:v>
                </c:pt>
                <c:pt idx="29">
                  <c:v>-0.16490892417715086</c:v>
                </c:pt>
                <c:pt idx="30">
                  <c:v>-0.16490892417715086</c:v>
                </c:pt>
                <c:pt idx="31">
                  <c:v>-0.16490892417715086</c:v>
                </c:pt>
                <c:pt idx="32">
                  <c:v>-0.16490892417715086</c:v>
                </c:pt>
                <c:pt idx="33">
                  <c:v>-0.16490892417715086</c:v>
                </c:pt>
                <c:pt idx="34">
                  <c:v>-0.16490892417715086</c:v>
                </c:pt>
                <c:pt idx="35">
                  <c:v>-0.16490892417715086</c:v>
                </c:pt>
                <c:pt idx="36">
                  <c:v>-0.16490892417715086</c:v>
                </c:pt>
                <c:pt idx="37">
                  <c:v>-0.16490892417715086</c:v>
                </c:pt>
                <c:pt idx="38">
                  <c:v>-0.16490892417715086</c:v>
                </c:pt>
                <c:pt idx="39">
                  <c:v>-0.16490892417715086</c:v>
                </c:pt>
                <c:pt idx="40">
                  <c:v>-0.16490892417715086</c:v>
                </c:pt>
                <c:pt idx="41">
                  <c:v>-0.16490892417715086</c:v>
                </c:pt>
                <c:pt idx="42">
                  <c:v>-0.16490892417715086</c:v>
                </c:pt>
                <c:pt idx="43">
                  <c:v>-0.16490892417715086</c:v>
                </c:pt>
                <c:pt idx="44">
                  <c:v>-0.16490892417715086</c:v>
                </c:pt>
                <c:pt idx="45">
                  <c:v>-0.16490892417715086</c:v>
                </c:pt>
                <c:pt idx="46">
                  <c:v>-0.16490892417715086</c:v>
                </c:pt>
                <c:pt idx="47">
                  <c:v>-0.16490892417715086</c:v>
                </c:pt>
                <c:pt idx="48">
                  <c:v>-0.16490892417715086</c:v>
                </c:pt>
                <c:pt idx="49">
                  <c:v>-0.16490892417715086</c:v>
                </c:pt>
                <c:pt idx="50">
                  <c:v>-0.16490892417715086</c:v>
                </c:pt>
                <c:pt idx="51">
                  <c:v>-0.16490892417715086</c:v>
                </c:pt>
                <c:pt idx="52">
                  <c:v>-0.16490892417715086</c:v>
                </c:pt>
                <c:pt idx="53">
                  <c:v>-0.16490892417715086</c:v>
                </c:pt>
                <c:pt idx="54">
                  <c:v>-0.16490892417715086</c:v>
                </c:pt>
                <c:pt idx="55">
                  <c:v>-0.16490892417715086</c:v>
                </c:pt>
                <c:pt idx="56">
                  <c:v>-0.16490892417715086</c:v>
                </c:pt>
                <c:pt idx="57">
                  <c:v>-0.16490892417715086</c:v>
                </c:pt>
                <c:pt idx="58">
                  <c:v>-0.16490892417715086</c:v>
                </c:pt>
                <c:pt idx="59">
                  <c:v>-0.16490892417715086</c:v>
                </c:pt>
                <c:pt idx="60">
                  <c:v>-0.16490892417715086</c:v>
                </c:pt>
                <c:pt idx="61">
                  <c:v>-0.16490892417715086</c:v>
                </c:pt>
                <c:pt idx="62">
                  <c:v>-0.16490892417715086</c:v>
                </c:pt>
                <c:pt idx="63">
                  <c:v>-0.16490892417715086</c:v>
                </c:pt>
                <c:pt idx="64">
                  <c:v>-0.16490892417715086</c:v>
                </c:pt>
                <c:pt idx="65">
                  <c:v>-0.16490892417715086</c:v>
                </c:pt>
                <c:pt idx="66">
                  <c:v>-0.16490892417715086</c:v>
                </c:pt>
                <c:pt idx="67">
                  <c:v>-0.16490892417715086</c:v>
                </c:pt>
                <c:pt idx="68">
                  <c:v>-0.16490892417715086</c:v>
                </c:pt>
                <c:pt idx="69">
                  <c:v>-0.16490892417715086</c:v>
                </c:pt>
                <c:pt idx="70">
                  <c:v>-0.16490892417715086</c:v>
                </c:pt>
                <c:pt idx="71">
                  <c:v>-0.16490892417715086</c:v>
                </c:pt>
                <c:pt idx="72">
                  <c:v>-0.16490892417715086</c:v>
                </c:pt>
                <c:pt idx="73">
                  <c:v>-0.16490892417715086</c:v>
                </c:pt>
                <c:pt idx="74">
                  <c:v>-0.16490892417715086</c:v>
                </c:pt>
                <c:pt idx="75">
                  <c:v>-0.16490892417715086</c:v>
                </c:pt>
                <c:pt idx="76">
                  <c:v>-0.16490892417715086</c:v>
                </c:pt>
                <c:pt idx="77">
                  <c:v>-0.16490892417715086</c:v>
                </c:pt>
                <c:pt idx="78">
                  <c:v>-0.16490892417715086</c:v>
                </c:pt>
                <c:pt idx="79">
                  <c:v>-0.16490892417715086</c:v>
                </c:pt>
                <c:pt idx="80">
                  <c:v>-0.16490892417715086</c:v>
                </c:pt>
                <c:pt idx="81">
                  <c:v>-0.16490892417715086</c:v>
                </c:pt>
                <c:pt idx="82">
                  <c:v>-0.16490892417715086</c:v>
                </c:pt>
                <c:pt idx="83">
                  <c:v>-0.16490892417715086</c:v>
                </c:pt>
                <c:pt idx="84">
                  <c:v>-0.16490892417715086</c:v>
                </c:pt>
                <c:pt idx="85">
                  <c:v>-0.16490892417715086</c:v>
                </c:pt>
                <c:pt idx="86">
                  <c:v>-0.16490892417715086</c:v>
                </c:pt>
                <c:pt idx="87">
                  <c:v>-0.16490892417715086</c:v>
                </c:pt>
                <c:pt idx="88">
                  <c:v>-0.16490892417715086</c:v>
                </c:pt>
                <c:pt idx="89">
                  <c:v>-0.16490892417715086</c:v>
                </c:pt>
                <c:pt idx="90">
                  <c:v>-0.16490892417715086</c:v>
                </c:pt>
                <c:pt idx="91">
                  <c:v>-0.16490892417715086</c:v>
                </c:pt>
                <c:pt idx="92">
                  <c:v>-0.16490892417715086</c:v>
                </c:pt>
                <c:pt idx="93">
                  <c:v>-0.16490892417715086</c:v>
                </c:pt>
                <c:pt idx="94">
                  <c:v>-0.16490892417715086</c:v>
                </c:pt>
                <c:pt idx="95">
                  <c:v>-0.16490892417715086</c:v>
                </c:pt>
                <c:pt idx="96">
                  <c:v>-0.16490892417715086</c:v>
                </c:pt>
                <c:pt idx="97">
                  <c:v>-0.16490892417715086</c:v>
                </c:pt>
                <c:pt idx="98">
                  <c:v>-0.16490892417715086</c:v>
                </c:pt>
                <c:pt idx="99">
                  <c:v>-0.16490892417715086</c:v>
                </c:pt>
              </c:numCache>
            </c:numRef>
          </c:yVal>
          <c:smooth val="0"/>
          <c:extLst>
            <c:ext xmlns:c16="http://schemas.microsoft.com/office/drawing/2014/chart" uri="{C3380CC4-5D6E-409C-BE32-E72D297353CC}">
              <c16:uniqueId val="{00000001-79CC-487D-ADC3-2AE17A872906}"/>
            </c:ext>
          </c:extLst>
        </c:ser>
        <c:ser>
          <c:idx val="1"/>
          <c:order val="1"/>
          <c:tx>
            <c:strRef>
              <c:f>'[1]decision support'!$W$1</c:f>
              <c:strCache>
                <c:ptCount val="1"/>
                <c:pt idx="0">
                  <c:v>May</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4"/>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support'!$W$2:$W$101</c:f>
              <c:numCache>
                <c:formatCode>General</c:formatCode>
                <c:ptCount val="100"/>
                <c:pt idx="0">
                  <c:v>-5.1872245428706248E-2</c:v>
                </c:pt>
                <c:pt idx="1">
                  <c:v>-5.6256544803857084E-2</c:v>
                </c:pt>
                <c:pt idx="2">
                  <c:v>-6.064084417900812E-2</c:v>
                </c:pt>
                <c:pt idx="3">
                  <c:v>-6.5025143554159157E-2</c:v>
                </c:pt>
                <c:pt idx="4">
                  <c:v>-6.9408004510880181E-2</c:v>
                </c:pt>
                <c:pt idx="5">
                  <c:v>-7.3792303886031224E-2</c:v>
                </c:pt>
                <c:pt idx="6">
                  <c:v>-7.8176603261182254E-2</c:v>
                </c:pt>
                <c:pt idx="7">
                  <c:v>-8.2559464217903084E-2</c:v>
                </c:pt>
                <c:pt idx="8">
                  <c:v>-8.6943763593054113E-2</c:v>
                </c:pt>
                <c:pt idx="9">
                  <c:v>-9.1328062968205156E-2</c:v>
                </c:pt>
                <c:pt idx="10">
                  <c:v>-9.5710923924925972E-2</c:v>
                </c:pt>
                <c:pt idx="11">
                  <c:v>-0.10009522330007702</c:v>
                </c:pt>
                <c:pt idx="12">
                  <c:v>-0.10447952267522805</c:v>
                </c:pt>
                <c:pt idx="13">
                  <c:v>-0.10886238363194897</c:v>
                </c:pt>
                <c:pt idx="14">
                  <c:v>-0.1132466830071</c:v>
                </c:pt>
                <c:pt idx="15">
                  <c:v>-0.11763098238225095</c:v>
                </c:pt>
                <c:pt idx="16">
                  <c:v>-0.12201528175740198</c:v>
                </c:pt>
                <c:pt idx="17">
                  <c:v>-0.12639814271412289</c:v>
                </c:pt>
                <c:pt idx="18">
                  <c:v>-0.13078244208927395</c:v>
                </c:pt>
                <c:pt idx="19">
                  <c:v>-0.13516674146442498</c:v>
                </c:pt>
                <c:pt idx="20">
                  <c:v>-0.13954960242114581</c:v>
                </c:pt>
                <c:pt idx="21">
                  <c:v>-0.14393390179629684</c:v>
                </c:pt>
                <c:pt idx="22">
                  <c:v>-0.14831820117144787</c:v>
                </c:pt>
                <c:pt idx="23">
                  <c:v>-0.15270106212816881</c:v>
                </c:pt>
                <c:pt idx="24">
                  <c:v>-0.15708536150331984</c:v>
                </c:pt>
                <c:pt idx="25">
                  <c:v>-0.16146966087847087</c:v>
                </c:pt>
                <c:pt idx="26">
                  <c:v>-0.1658525218351917</c:v>
                </c:pt>
                <c:pt idx="27">
                  <c:v>-0.17023682121034273</c:v>
                </c:pt>
                <c:pt idx="28">
                  <c:v>-0.17462112058549376</c:v>
                </c:pt>
                <c:pt idx="29">
                  <c:v>-0.17900541996064481</c:v>
                </c:pt>
                <c:pt idx="30">
                  <c:v>-0.18338828091736561</c:v>
                </c:pt>
                <c:pt idx="31">
                  <c:v>-0.18777258029251667</c:v>
                </c:pt>
                <c:pt idx="32">
                  <c:v>-0.1921568796676677</c:v>
                </c:pt>
                <c:pt idx="33">
                  <c:v>-0.19653974062438861</c:v>
                </c:pt>
                <c:pt idx="34">
                  <c:v>-0.20092403999953964</c:v>
                </c:pt>
                <c:pt idx="35">
                  <c:v>-0.2053083393746907</c:v>
                </c:pt>
                <c:pt idx="36">
                  <c:v>-0.2096912003314115</c:v>
                </c:pt>
                <c:pt idx="37">
                  <c:v>-0.21407549970656256</c:v>
                </c:pt>
                <c:pt idx="38">
                  <c:v>-0.21845979908171359</c:v>
                </c:pt>
                <c:pt idx="39">
                  <c:v>-0.22284409845686462</c:v>
                </c:pt>
                <c:pt idx="40">
                  <c:v>-0.22722695941358556</c:v>
                </c:pt>
                <c:pt idx="41">
                  <c:v>-0.23161125878873659</c:v>
                </c:pt>
                <c:pt idx="42">
                  <c:v>-0.23599555816388762</c:v>
                </c:pt>
                <c:pt idx="43">
                  <c:v>-0.24037841912060845</c:v>
                </c:pt>
                <c:pt idx="44">
                  <c:v>-0.24476271849575948</c:v>
                </c:pt>
                <c:pt idx="45">
                  <c:v>-0.24914701787091051</c:v>
                </c:pt>
                <c:pt idx="46">
                  <c:v>-0.25352987882763134</c:v>
                </c:pt>
                <c:pt idx="47">
                  <c:v>-0.2579141782027824</c:v>
                </c:pt>
                <c:pt idx="48">
                  <c:v>-0.2622984775779334</c:v>
                </c:pt>
                <c:pt idx="49">
                  <c:v>-0.26436260802522404</c:v>
                </c:pt>
                <c:pt idx="50">
                  <c:v>-0.26436260802522404</c:v>
                </c:pt>
                <c:pt idx="51">
                  <c:v>-0.26436260802522404</c:v>
                </c:pt>
                <c:pt idx="52">
                  <c:v>-0.26436260802522404</c:v>
                </c:pt>
                <c:pt idx="53">
                  <c:v>-0.26436260802522404</c:v>
                </c:pt>
                <c:pt idx="54">
                  <c:v>-0.26436260802522404</c:v>
                </c:pt>
                <c:pt idx="55">
                  <c:v>-0.26436260802522404</c:v>
                </c:pt>
                <c:pt idx="56">
                  <c:v>-0.26436260802522404</c:v>
                </c:pt>
                <c:pt idx="57">
                  <c:v>-0.26436260802522404</c:v>
                </c:pt>
                <c:pt idx="58">
                  <c:v>-0.26436260802522404</c:v>
                </c:pt>
                <c:pt idx="59">
                  <c:v>-0.26436260802522404</c:v>
                </c:pt>
                <c:pt idx="60">
                  <c:v>-0.26436260802522404</c:v>
                </c:pt>
                <c:pt idx="61">
                  <c:v>-0.26436260802522404</c:v>
                </c:pt>
                <c:pt idx="62">
                  <c:v>-0.26436260802522404</c:v>
                </c:pt>
                <c:pt idx="63">
                  <c:v>-0.26436260802522404</c:v>
                </c:pt>
                <c:pt idx="64">
                  <c:v>-0.26436260802522404</c:v>
                </c:pt>
                <c:pt idx="65">
                  <c:v>-0.26436260802522404</c:v>
                </c:pt>
                <c:pt idx="66">
                  <c:v>-0.26436260802522404</c:v>
                </c:pt>
                <c:pt idx="67">
                  <c:v>-0.26436260802522404</c:v>
                </c:pt>
                <c:pt idx="68">
                  <c:v>-0.26436260802522404</c:v>
                </c:pt>
                <c:pt idx="69">
                  <c:v>-0.26436260802522404</c:v>
                </c:pt>
                <c:pt idx="70">
                  <c:v>-0.26436260802522404</c:v>
                </c:pt>
                <c:pt idx="71">
                  <c:v>-0.26436260802522404</c:v>
                </c:pt>
                <c:pt idx="72">
                  <c:v>-0.26436260802522404</c:v>
                </c:pt>
                <c:pt idx="73">
                  <c:v>-0.26436260802522404</c:v>
                </c:pt>
                <c:pt idx="74">
                  <c:v>-0.26436260802522404</c:v>
                </c:pt>
                <c:pt idx="75">
                  <c:v>-0.26436260802522404</c:v>
                </c:pt>
                <c:pt idx="76">
                  <c:v>-0.26436260802522404</c:v>
                </c:pt>
                <c:pt idx="77">
                  <c:v>-0.26436260802522404</c:v>
                </c:pt>
                <c:pt idx="78">
                  <c:v>-0.26436260802522404</c:v>
                </c:pt>
                <c:pt idx="79">
                  <c:v>-0.26436260802522404</c:v>
                </c:pt>
                <c:pt idx="80">
                  <c:v>-0.26436260802522404</c:v>
                </c:pt>
                <c:pt idx="81">
                  <c:v>-0.26436260802522404</c:v>
                </c:pt>
                <c:pt idx="82">
                  <c:v>-0.26436260802522404</c:v>
                </c:pt>
                <c:pt idx="83">
                  <c:v>-0.26436260802522404</c:v>
                </c:pt>
                <c:pt idx="84">
                  <c:v>-0.26436260802522404</c:v>
                </c:pt>
                <c:pt idx="85">
                  <c:v>-0.26436260802522404</c:v>
                </c:pt>
                <c:pt idx="86">
                  <c:v>-0.26436260802522404</c:v>
                </c:pt>
                <c:pt idx="87">
                  <c:v>-0.26436260802522404</c:v>
                </c:pt>
                <c:pt idx="88">
                  <c:v>-0.26436260802522404</c:v>
                </c:pt>
                <c:pt idx="89">
                  <c:v>-0.26436260802522404</c:v>
                </c:pt>
                <c:pt idx="90">
                  <c:v>-0.26436260802522404</c:v>
                </c:pt>
                <c:pt idx="91">
                  <c:v>-0.26436260802522404</c:v>
                </c:pt>
                <c:pt idx="92">
                  <c:v>-0.26436260802522404</c:v>
                </c:pt>
                <c:pt idx="93">
                  <c:v>-0.26436260802522404</c:v>
                </c:pt>
                <c:pt idx="94">
                  <c:v>-0.26436260802522404</c:v>
                </c:pt>
                <c:pt idx="95">
                  <c:v>-0.26436260802522404</c:v>
                </c:pt>
                <c:pt idx="96">
                  <c:v>-0.26436260802522404</c:v>
                </c:pt>
                <c:pt idx="97">
                  <c:v>-0.26436260802522404</c:v>
                </c:pt>
                <c:pt idx="98">
                  <c:v>-0.26436260802522404</c:v>
                </c:pt>
                <c:pt idx="99">
                  <c:v>-0.26436260802522404</c:v>
                </c:pt>
              </c:numCache>
            </c:numRef>
          </c:yVal>
          <c:smooth val="0"/>
          <c:extLst>
            <c:ext xmlns:c16="http://schemas.microsoft.com/office/drawing/2014/chart" uri="{C3380CC4-5D6E-409C-BE32-E72D297353CC}">
              <c16:uniqueId val="{00000003-79CC-487D-ADC3-2AE17A872906}"/>
            </c:ext>
          </c:extLst>
        </c:ser>
        <c:ser>
          <c:idx val="2"/>
          <c:order val="2"/>
          <c:tx>
            <c:strRef>
              <c:f>'[1]decision support'!$X$1</c:f>
              <c:strCache>
                <c:ptCount val="1"/>
                <c:pt idx="0">
                  <c:v>Jun</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6"/>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support'!$X$2:$X$101</c:f>
              <c:numCache>
                <c:formatCode>General</c:formatCode>
                <c:ptCount val="100"/>
                <c:pt idx="0">
                  <c:v>-8.3634461292348944E-2</c:v>
                </c:pt>
                <c:pt idx="1">
                  <c:v>-0.13537326064518479</c:v>
                </c:pt>
                <c:pt idx="2">
                  <c:v>-0.15030813015191388</c:v>
                </c:pt>
                <c:pt idx="3">
                  <c:v>-0.16524501952197909</c:v>
                </c:pt>
                <c:pt idx="4">
                  <c:v>-0.1801819088920443</c:v>
                </c:pt>
                <c:pt idx="5">
                  <c:v>-0.19511677839877356</c:v>
                </c:pt>
                <c:pt idx="6">
                  <c:v>-0.1974537602785795</c:v>
                </c:pt>
                <c:pt idx="7">
                  <c:v>-0.1974537602785795</c:v>
                </c:pt>
                <c:pt idx="8">
                  <c:v>-0.1974537602785795</c:v>
                </c:pt>
                <c:pt idx="9">
                  <c:v>-0.1974537602785795</c:v>
                </c:pt>
                <c:pt idx="10">
                  <c:v>-0.1974537602785795</c:v>
                </c:pt>
                <c:pt idx="11">
                  <c:v>-0.1974537602785795</c:v>
                </c:pt>
                <c:pt idx="12">
                  <c:v>-0.1974537602785795</c:v>
                </c:pt>
                <c:pt idx="13">
                  <c:v>-0.1974537602785795</c:v>
                </c:pt>
                <c:pt idx="14">
                  <c:v>-0.1974537602785795</c:v>
                </c:pt>
                <c:pt idx="15">
                  <c:v>-0.1974537602785795</c:v>
                </c:pt>
                <c:pt idx="16">
                  <c:v>-0.1974537602785795</c:v>
                </c:pt>
                <c:pt idx="17">
                  <c:v>-0.1974537602785795</c:v>
                </c:pt>
                <c:pt idx="18">
                  <c:v>-0.1974537602785795</c:v>
                </c:pt>
                <c:pt idx="19">
                  <c:v>-0.1974537602785795</c:v>
                </c:pt>
                <c:pt idx="20">
                  <c:v>-0.1974537602785795</c:v>
                </c:pt>
                <c:pt idx="21">
                  <c:v>-0.1974537602785795</c:v>
                </c:pt>
                <c:pt idx="22">
                  <c:v>-0.1974537602785795</c:v>
                </c:pt>
                <c:pt idx="23">
                  <c:v>-0.1974537602785795</c:v>
                </c:pt>
                <c:pt idx="24">
                  <c:v>-0.1974537602785795</c:v>
                </c:pt>
                <c:pt idx="25">
                  <c:v>-0.1974537602785795</c:v>
                </c:pt>
                <c:pt idx="26">
                  <c:v>-0.1974537602785795</c:v>
                </c:pt>
                <c:pt idx="27">
                  <c:v>-0.1974537602785795</c:v>
                </c:pt>
                <c:pt idx="28">
                  <c:v>-0.1974537602785795</c:v>
                </c:pt>
                <c:pt idx="29">
                  <c:v>-0.1974537602785795</c:v>
                </c:pt>
                <c:pt idx="30">
                  <c:v>-0.1974537602785795</c:v>
                </c:pt>
                <c:pt idx="31">
                  <c:v>-0.1974537602785795</c:v>
                </c:pt>
                <c:pt idx="32">
                  <c:v>-0.1974537602785795</c:v>
                </c:pt>
                <c:pt idx="33">
                  <c:v>-0.1974537602785795</c:v>
                </c:pt>
                <c:pt idx="34">
                  <c:v>-0.1974537602785795</c:v>
                </c:pt>
                <c:pt idx="35">
                  <c:v>-0.1974537602785795</c:v>
                </c:pt>
                <c:pt idx="36">
                  <c:v>-0.1974537602785795</c:v>
                </c:pt>
                <c:pt idx="37">
                  <c:v>-0.1974537602785795</c:v>
                </c:pt>
                <c:pt idx="38">
                  <c:v>-0.1974537602785795</c:v>
                </c:pt>
                <c:pt idx="39">
                  <c:v>-0.1974537602785795</c:v>
                </c:pt>
                <c:pt idx="40">
                  <c:v>-0.1974537602785795</c:v>
                </c:pt>
                <c:pt idx="41">
                  <c:v>-0.1974537602785795</c:v>
                </c:pt>
                <c:pt idx="42">
                  <c:v>-0.1974537602785795</c:v>
                </c:pt>
                <c:pt idx="43">
                  <c:v>-0.1974537602785795</c:v>
                </c:pt>
                <c:pt idx="44">
                  <c:v>-0.1974537602785795</c:v>
                </c:pt>
                <c:pt idx="45">
                  <c:v>-0.1974537602785795</c:v>
                </c:pt>
                <c:pt idx="46">
                  <c:v>-0.1974537602785795</c:v>
                </c:pt>
                <c:pt idx="47">
                  <c:v>-0.1974537602785795</c:v>
                </c:pt>
                <c:pt idx="48">
                  <c:v>-0.1974537602785795</c:v>
                </c:pt>
                <c:pt idx="49">
                  <c:v>-0.1974537602785795</c:v>
                </c:pt>
                <c:pt idx="50">
                  <c:v>-0.1974537602785795</c:v>
                </c:pt>
                <c:pt idx="51">
                  <c:v>-0.1974537602785795</c:v>
                </c:pt>
                <c:pt idx="52">
                  <c:v>-0.1974537602785795</c:v>
                </c:pt>
                <c:pt idx="53">
                  <c:v>-0.1974537602785795</c:v>
                </c:pt>
                <c:pt idx="54">
                  <c:v>-0.1974537602785795</c:v>
                </c:pt>
                <c:pt idx="55">
                  <c:v>-0.1974537602785795</c:v>
                </c:pt>
                <c:pt idx="56">
                  <c:v>-0.1974537602785795</c:v>
                </c:pt>
                <c:pt idx="57">
                  <c:v>-0.1974537602785795</c:v>
                </c:pt>
                <c:pt idx="58">
                  <c:v>-0.1974537602785795</c:v>
                </c:pt>
                <c:pt idx="59">
                  <c:v>-0.1974537602785795</c:v>
                </c:pt>
                <c:pt idx="60">
                  <c:v>-0.1974537602785795</c:v>
                </c:pt>
                <c:pt idx="61">
                  <c:v>-0.1974537602785795</c:v>
                </c:pt>
                <c:pt idx="62">
                  <c:v>-0.1974537602785795</c:v>
                </c:pt>
                <c:pt idx="63">
                  <c:v>-0.1974537602785795</c:v>
                </c:pt>
                <c:pt idx="64">
                  <c:v>-0.1974537602785795</c:v>
                </c:pt>
                <c:pt idx="65">
                  <c:v>-0.1974537602785795</c:v>
                </c:pt>
                <c:pt idx="66">
                  <c:v>-0.1974537602785795</c:v>
                </c:pt>
                <c:pt idx="67">
                  <c:v>-0.1974537602785795</c:v>
                </c:pt>
                <c:pt idx="68">
                  <c:v>-0.1974537602785795</c:v>
                </c:pt>
                <c:pt idx="69">
                  <c:v>-0.1974537602785795</c:v>
                </c:pt>
                <c:pt idx="70">
                  <c:v>-0.1974537602785795</c:v>
                </c:pt>
                <c:pt idx="71">
                  <c:v>-0.1974537602785795</c:v>
                </c:pt>
                <c:pt idx="72">
                  <c:v>-0.1974537602785795</c:v>
                </c:pt>
                <c:pt idx="73">
                  <c:v>-0.1974537602785795</c:v>
                </c:pt>
                <c:pt idx="74">
                  <c:v>-0.1974537602785795</c:v>
                </c:pt>
                <c:pt idx="75">
                  <c:v>-0.1974537602785795</c:v>
                </c:pt>
                <c:pt idx="76">
                  <c:v>-0.1974537602785795</c:v>
                </c:pt>
                <c:pt idx="77">
                  <c:v>-0.1974537602785795</c:v>
                </c:pt>
                <c:pt idx="78">
                  <c:v>-0.1974537602785795</c:v>
                </c:pt>
                <c:pt idx="79">
                  <c:v>-0.1974537602785795</c:v>
                </c:pt>
                <c:pt idx="80">
                  <c:v>-0.1974537602785795</c:v>
                </c:pt>
                <c:pt idx="81">
                  <c:v>-0.1974537602785795</c:v>
                </c:pt>
                <c:pt idx="82">
                  <c:v>-0.1974537602785795</c:v>
                </c:pt>
                <c:pt idx="83">
                  <c:v>-0.1974537602785795</c:v>
                </c:pt>
                <c:pt idx="84">
                  <c:v>-0.1974537602785795</c:v>
                </c:pt>
                <c:pt idx="85">
                  <c:v>-0.1974537602785795</c:v>
                </c:pt>
                <c:pt idx="86">
                  <c:v>-0.1974537602785795</c:v>
                </c:pt>
                <c:pt idx="87">
                  <c:v>-0.1974537602785795</c:v>
                </c:pt>
                <c:pt idx="88">
                  <c:v>-0.1974537602785795</c:v>
                </c:pt>
                <c:pt idx="89">
                  <c:v>-0.1974537602785795</c:v>
                </c:pt>
                <c:pt idx="90">
                  <c:v>-0.1974537602785795</c:v>
                </c:pt>
                <c:pt idx="91">
                  <c:v>-0.1974537602785795</c:v>
                </c:pt>
                <c:pt idx="92">
                  <c:v>-0.1974537602785795</c:v>
                </c:pt>
                <c:pt idx="93">
                  <c:v>-0.1974537602785795</c:v>
                </c:pt>
                <c:pt idx="94">
                  <c:v>-0.1974537602785795</c:v>
                </c:pt>
                <c:pt idx="95">
                  <c:v>-0.1974537602785795</c:v>
                </c:pt>
                <c:pt idx="96">
                  <c:v>-0.1974537602785795</c:v>
                </c:pt>
                <c:pt idx="97">
                  <c:v>-0.1974537602785795</c:v>
                </c:pt>
                <c:pt idx="98">
                  <c:v>-0.1974537602785795</c:v>
                </c:pt>
                <c:pt idx="99">
                  <c:v>-0.1974537602785795</c:v>
                </c:pt>
              </c:numCache>
            </c:numRef>
          </c:yVal>
          <c:smooth val="0"/>
          <c:extLst>
            <c:ext xmlns:c16="http://schemas.microsoft.com/office/drawing/2014/chart" uri="{C3380CC4-5D6E-409C-BE32-E72D297353CC}">
              <c16:uniqueId val="{00000005-79CC-487D-ADC3-2AE17A872906}"/>
            </c:ext>
          </c:extLst>
        </c:ser>
        <c:ser>
          <c:idx val="3"/>
          <c:order val="3"/>
          <c:tx>
            <c:strRef>
              <c:f>'[1]decision support'!$Y$1</c:f>
              <c:strCache>
                <c:ptCount val="1"/>
                <c:pt idx="0">
                  <c:v>Jul</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poly"/>
            <c:order val="5"/>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support'!$Y$2:$Y$101</c:f>
              <c:numCache>
                <c:formatCode>General</c:formatCode>
                <c:ptCount val="100"/>
                <c:pt idx="0">
                  <c:v>-6.2101466562614983E-2</c:v>
                </c:pt>
                <c:pt idx="1">
                  <c:v>-9.843194656164464E-2</c:v>
                </c:pt>
                <c:pt idx="2">
                  <c:v>-0.12794111106169104</c:v>
                </c:pt>
                <c:pt idx="3">
                  <c:v>-0.13966512071747139</c:v>
                </c:pt>
                <c:pt idx="4">
                  <c:v>-0.1476368003299463</c:v>
                </c:pt>
                <c:pt idx="5">
                  <c:v>-0.15561050167197032</c:v>
                </c:pt>
                <c:pt idx="6">
                  <c:v>-0.16358218128444521</c:v>
                </c:pt>
                <c:pt idx="7">
                  <c:v>-0.1715558826264694</c:v>
                </c:pt>
                <c:pt idx="8">
                  <c:v>-0.17952958396849342</c:v>
                </c:pt>
                <c:pt idx="9">
                  <c:v>-0.1875012635809683</c:v>
                </c:pt>
                <c:pt idx="10">
                  <c:v>-0.19547496492299235</c:v>
                </c:pt>
                <c:pt idx="11">
                  <c:v>-0.20344664453546724</c:v>
                </c:pt>
                <c:pt idx="12">
                  <c:v>-0.21142034587749126</c:v>
                </c:pt>
                <c:pt idx="13">
                  <c:v>-0.21939202548996617</c:v>
                </c:pt>
                <c:pt idx="14">
                  <c:v>-0.22736572683199019</c:v>
                </c:pt>
                <c:pt idx="15">
                  <c:v>-0.2353374064444651</c:v>
                </c:pt>
                <c:pt idx="16">
                  <c:v>-0.24331110778648926</c:v>
                </c:pt>
                <c:pt idx="17">
                  <c:v>-0.24799545515197341</c:v>
                </c:pt>
                <c:pt idx="18">
                  <c:v>-0.24799545515197341</c:v>
                </c:pt>
                <c:pt idx="19">
                  <c:v>-0.24799545515197341</c:v>
                </c:pt>
                <c:pt idx="20">
                  <c:v>-0.24799545515197341</c:v>
                </c:pt>
                <c:pt idx="21">
                  <c:v>-0.24799545515197341</c:v>
                </c:pt>
                <c:pt idx="22">
                  <c:v>-0.24799545515197341</c:v>
                </c:pt>
                <c:pt idx="23">
                  <c:v>-0.24799545515197341</c:v>
                </c:pt>
                <c:pt idx="24">
                  <c:v>-0.24799545515197341</c:v>
                </c:pt>
                <c:pt idx="25">
                  <c:v>-0.24799545515197341</c:v>
                </c:pt>
                <c:pt idx="26">
                  <c:v>-0.24799545515197341</c:v>
                </c:pt>
                <c:pt idx="27">
                  <c:v>-0.24799545515197341</c:v>
                </c:pt>
                <c:pt idx="28">
                  <c:v>-0.24799545515197341</c:v>
                </c:pt>
                <c:pt idx="29">
                  <c:v>-0.24799545515197341</c:v>
                </c:pt>
                <c:pt idx="30">
                  <c:v>-0.24799545515197341</c:v>
                </c:pt>
                <c:pt idx="31">
                  <c:v>-0.24799545515197341</c:v>
                </c:pt>
                <c:pt idx="32">
                  <c:v>-0.24799545515197341</c:v>
                </c:pt>
                <c:pt idx="33">
                  <c:v>-0.24799545515197341</c:v>
                </c:pt>
                <c:pt idx="34">
                  <c:v>-0.24799545515197341</c:v>
                </c:pt>
                <c:pt idx="35">
                  <c:v>-0.24799545515197341</c:v>
                </c:pt>
                <c:pt idx="36">
                  <c:v>-0.24799545515197341</c:v>
                </c:pt>
                <c:pt idx="37">
                  <c:v>-0.24799545515197341</c:v>
                </c:pt>
                <c:pt idx="38">
                  <c:v>-0.24799545515197341</c:v>
                </c:pt>
                <c:pt idx="39">
                  <c:v>-0.24799545515197341</c:v>
                </c:pt>
                <c:pt idx="40">
                  <c:v>-0.24799545515197341</c:v>
                </c:pt>
                <c:pt idx="41">
                  <c:v>-0.24799545515197341</c:v>
                </c:pt>
                <c:pt idx="42">
                  <c:v>-0.24799545515197341</c:v>
                </c:pt>
                <c:pt idx="43">
                  <c:v>-0.24799545515197341</c:v>
                </c:pt>
                <c:pt idx="44">
                  <c:v>-0.24799545515197341</c:v>
                </c:pt>
                <c:pt idx="45">
                  <c:v>-0.24799545515197341</c:v>
                </c:pt>
                <c:pt idx="46">
                  <c:v>-0.24799545515197341</c:v>
                </c:pt>
                <c:pt idx="47">
                  <c:v>-0.24799545515197341</c:v>
                </c:pt>
                <c:pt idx="48">
                  <c:v>-0.24799545515197341</c:v>
                </c:pt>
                <c:pt idx="49">
                  <c:v>-0.24799545515197341</c:v>
                </c:pt>
                <c:pt idx="50">
                  <c:v>-0.24799545515197341</c:v>
                </c:pt>
                <c:pt idx="51">
                  <c:v>-0.24799545515197341</c:v>
                </c:pt>
                <c:pt idx="52">
                  <c:v>-0.24799545515197341</c:v>
                </c:pt>
                <c:pt idx="53">
                  <c:v>-0.24799545515197341</c:v>
                </c:pt>
                <c:pt idx="54">
                  <c:v>-0.24799545515197341</c:v>
                </c:pt>
                <c:pt idx="55">
                  <c:v>-0.24799545515197341</c:v>
                </c:pt>
                <c:pt idx="56">
                  <c:v>-0.24799545515197341</c:v>
                </c:pt>
                <c:pt idx="57">
                  <c:v>-0.24799545515197341</c:v>
                </c:pt>
                <c:pt idx="58">
                  <c:v>-0.24799545515197341</c:v>
                </c:pt>
                <c:pt idx="59">
                  <c:v>-0.24799545515197341</c:v>
                </c:pt>
                <c:pt idx="60">
                  <c:v>-0.24799545515197341</c:v>
                </c:pt>
                <c:pt idx="61">
                  <c:v>-0.24799545515197341</c:v>
                </c:pt>
                <c:pt idx="62">
                  <c:v>-0.24799545515197341</c:v>
                </c:pt>
                <c:pt idx="63">
                  <c:v>-0.24799545515197341</c:v>
                </c:pt>
                <c:pt idx="64">
                  <c:v>-0.24799545515197341</c:v>
                </c:pt>
                <c:pt idx="65">
                  <c:v>-0.24799545515197341</c:v>
                </c:pt>
                <c:pt idx="66">
                  <c:v>-0.24799545515197341</c:v>
                </c:pt>
                <c:pt idx="67">
                  <c:v>-0.24799545515197341</c:v>
                </c:pt>
                <c:pt idx="68">
                  <c:v>-0.24799545515197341</c:v>
                </c:pt>
                <c:pt idx="69">
                  <c:v>-0.24799545515197341</c:v>
                </c:pt>
                <c:pt idx="70">
                  <c:v>-0.24799545515197341</c:v>
                </c:pt>
                <c:pt idx="71">
                  <c:v>-0.24799545515197341</c:v>
                </c:pt>
                <c:pt idx="72">
                  <c:v>-0.24799545515197341</c:v>
                </c:pt>
                <c:pt idx="73">
                  <c:v>-0.24799545515197341</c:v>
                </c:pt>
                <c:pt idx="74">
                  <c:v>-0.24799545515197341</c:v>
                </c:pt>
                <c:pt idx="75">
                  <c:v>-0.24799545515197341</c:v>
                </c:pt>
                <c:pt idx="76">
                  <c:v>-0.24799545515197341</c:v>
                </c:pt>
                <c:pt idx="77">
                  <c:v>-0.24799545515197341</c:v>
                </c:pt>
                <c:pt idx="78">
                  <c:v>-0.24799545515197341</c:v>
                </c:pt>
                <c:pt idx="79">
                  <c:v>-0.24799545515197341</c:v>
                </c:pt>
                <c:pt idx="80">
                  <c:v>-0.24799545515197341</c:v>
                </c:pt>
                <c:pt idx="81">
                  <c:v>-0.24799545515197341</c:v>
                </c:pt>
                <c:pt idx="82">
                  <c:v>-0.24799545515197341</c:v>
                </c:pt>
                <c:pt idx="83">
                  <c:v>-0.24799545515197341</c:v>
                </c:pt>
                <c:pt idx="84">
                  <c:v>-0.24799545515197341</c:v>
                </c:pt>
                <c:pt idx="85">
                  <c:v>-0.24799545515197341</c:v>
                </c:pt>
                <c:pt idx="86">
                  <c:v>-0.24799545515197341</c:v>
                </c:pt>
                <c:pt idx="87">
                  <c:v>-0.24799545515197341</c:v>
                </c:pt>
                <c:pt idx="88">
                  <c:v>-0.24799545515197341</c:v>
                </c:pt>
                <c:pt idx="89">
                  <c:v>-0.24799545515197341</c:v>
                </c:pt>
                <c:pt idx="90">
                  <c:v>-0.24799545515197341</c:v>
                </c:pt>
                <c:pt idx="91">
                  <c:v>-0.24799545515197341</c:v>
                </c:pt>
                <c:pt idx="92">
                  <c:v>-0.24799545515197341</c:v>
                </c:pt>
                <c:pt idx="93">
                  <c:v>-0.24799545515197341</c:v>
                </c:pt>
                <c:pt idx="94">
                  <c:v>-0.24799545515197341</c:v>
                </c:pt>
                <c:pt idx="95">
                  <c:v>-0.24799545515197341</c:v>
                </c:pt>
                <c:pt idx="96">
                  <c:v>-0.24799545515197341</c:v>
                </c:pt>
                <c:pt idx="97">
                  <c:v>-0.24799545515197341</c:v>
                </c:pt>
                <c:pt idx="98">
                  <c:v>-0.24799545515197341</c:v>
                </c:pt>
                <c:pt idx="99">
                  <c:v>-0.24799545515197341</c:v>
                </c:pt>
              </c:numCache>
            </c:numRef>
          </c:yVal>
          <c:smooth val="0"/>
          <c:extLst>
            <c:ext xmlns:c16="http://schemas.microsoft.com/office/drawing/2014/chart" uri="{C3380CC4-5D6E-409C-BE32-E72D297353CC}">
              <c16:uniqueId val="{00000007-79CC-487D-ADC3-2AE17A872906}"/>
            </c:ext>
          </c:extLst>
        </c:ser>
        <c:ser>
          <c:idx val="4"/>
          <c:order val="4"/>
          <c:tx>
            <c:strRef>
              <c:f>'[1]decision support'!$Z$1</c:f>
              <c:strCache>
                <c:ptCount val="1"/>
                <c:pt idx="0">
                  <c:v>Aug</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poly"/>
            <c:order val="4"/>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support'!$Z$2:$Z$101</c:f>
              <c:numCache>
                <c:formatCode>General</c:formatCode>
                <c:ptCount val="100"/>
                <c:pt idx="0">
                  <c:v>-4.499300434138815E-2</c:v>
                </c:pt>
                <c:pt idx="1">
                  <c:v>-5.3642182261505612E-2</c:v>
                </c:pt>
                <c:pt idx="2">
                  <c:v>-6.2291360181623248E-2</c:v>
                </c:pt>
                <c:pt idx="3">
                  <c:v>-7.0942937984626336E-2</c:v>
                </c:pt>
                <c:pt idx="4">
                  <c:v>-7.9592115904743799E-2</c:v>
                </c:pt>
                <c:pt idx="5">
                  <c:v>-8.8241293824861428E-2</c:v>
                </c:pt>
                <c:pt idx="6">
                  <c:v>-9.689047174497889E-2</c:v>
                </c:pt>
                <c:pt idx="7">
                  <c:v>-0.10553964966509635</c:v>
                </c:pt>
                <c:pt idx="8">
                  <c:v>-0.11419122746809961</c:v>
                </c:pt>
                <c:pt idx="9">
                  <c:v>-0.1220940418107596</c:v>
                </c:pt>
                <c:pt idx="10">
                  <c:v>-0.12779616354721887</c:v>
                </c:pt>
                <c:pt idx="11">
                  <c:v>-0.13350068516656394</c:v>
                </c:pt>
                <c:pt idx="12">
                  <c:v>-0.1392028069030232</c:v>
                </c:pt>
                <c:pt idx="13">
                  <c:v>-0.1449073285223681</c:v>
                </c:pt>
                <c:pt idx="14">
                  <c:v>-0.15040066044777023</c:v>
                </c:pt>
                <c:pt idx="15">
                  <c:v>-0.15160300177351352</c:v>
                </c:pt>
                <c:pt idx="16">
                  <c:v>-0.15280294321637106</c:v>
                </c:pt>
                <c:pt idx="17">
                  <c:v>-0.15400528454211437</c:v>
                </c:pt>
                <c:pt idx="18">
                  <c:v>-0.15520522598497188</c:v>
                </c:pt>
                <c:pt idx="19">
                  <c:v>-0.15640516742782959</c:v>
                </c:pt>
                <c:pt idx="20">
                  <c:v>-0.15760750875357291</c:v>
                </c:pt>
                <c:pt idx="21">
                  <c:v>-0.15880745019643042</c:v>
                </c:pt>
                <c:pt idx="22">
                  <c:v>-0.16000979152217373</c:v>
                </c:pt>
                <c:pt idx="23">
                  <c:v>-0.16120973296503124</c:v>
                </c:pt>
                <c:pt idx="24">
                  <c:v>-0.16241207429077456</c:v>
                </c:pt>
                <c:pt idx="25">
                  <c:v>-0.16361201573363227</c:v>
                </c:pt>
                <c:pt idx="26">
                  <c:v>-0.16481195717648978</c:v>
                </c:pt>
                <c:pt idx="27">
                  <c:v>-0.16601429850223309</c:v>
                </c:pt>
                <c:pt idx="28">
                  <c:v>-0.16721423994509077</c:v>
                </c:pt>
                <c:pt idx="29">
                  <c:v>-0.16841658127083392</c:v>
                </c:pt>
                <c:pt idx="30">
                  <c:v>-0.16961652271369163</c:v>
                </c:pt>
                <c:pt idx="31">
                  <c:v>-0.17081886403943494</c:v>
                </c:pt>
                <c:pt idx="32">
                  <c:v>-0.17201880548229245</c:v>
                </c:pt>
                <c:pt idx="33">
                  <c:v>-0.17322114680803577</c:v>
                </c:pt>
                <c:pt idx="34">
                  <c:v>-0.17442108825089345</c:v>
                </c:pt>
                <c:pt idx="35">
                  <c:v>-0.17562102969375099</c:v>
                </c:pt>
                <c:pt idx="36">
                  <c:v>-0.1768233710194943</c:v>
                </c:pt>
                <c:pt idx="37">
                  <c:v>-0.17802331246235181</c:v>
                </c:pt>
                <c:pt idx="38">
                  <c:v>-0.17922565378809513</c:v>
                </c:pt>
                <c:pt idx="39">
                  <c:v>-0.18042559523095281</c:v>
                </c:pt>
                <c:pt idx="40">
                  <c:v>-0.18162793655669612</c:v>
                </c:pt>
                <c:pt idx="41">
                  <c:v>-0.18282787799955366</c:v>
                </c:pt>
                <c:pt idx="42">
                  <c:v>-0.18402781944241117</c:v>
                </c:pt>
                <c:pt idx="43">
                  <c:v>-0.18523016076815449</c:v>
                </c:pt>
                <c:pt idx="44">
                  <c:v>-0.18643010221101219</c:v>
                </c:pt>
                <c:pt idx="45">
                  <c:v>-0.18763244353675551</c:v>
                </c:pt>
                <c:pt idx="46">
                  <c:v>-0.18883238497961302</c:v>
                </c:pt>
                <c:pt idx="47">
                  <c:v>-0.19003472630535634</c:v>
                </c:pt>
                <c:pt idx="48">
                  <c:v>-0.19123466774821385</c:v>
                </c:pt>
                <c:pt idx="49">
                  <c:v>-0.19243700907395717</c:v>
                </c:pt>
                <c:pt idx="50">
                  <c:v>-0.19363695051681487</c:v>
                </c:pt>
                <c:pt idx="51">
                  <c:v>-0.19483689195967238</c:v>
                </c:pt>
                <c:pt idx="52">
                  <c:v>-0.1960392332854157</c:v>
                </c:pt>
                <c:pt idx="53">
                  <c:v>-0.19723917472827321</c:v>
                </c:pt>
                <c:pt idx="54">
                  <c:v>-0.19844151605401653</c:v>
                </c:pt>
                <c:pt idx="55">
                  <c:v>-0.19964145749687423</c:v>
                </c:pt>
                <c:pt idx="56">
                  <c:v>-0.20084379882261755</c:v>
                </c:pt>
                <c:pt idx="57">
                  <c:v>-0.20204374026547506</c:v>
                </c:pt>
                <c:pt idx="58">
                  <c:v>-0.20324608159121837</c:v>
                </c:pt>
                <c:pt idx="59">
                  <c:v>-0.20444602303407589</c:v>
                </c:pt>
                <c:pt idx="60">
                  <c:v>-0.20564596447693359</c:v>
                </c:pt>
                <c:pt idx="61">
                  <c:v>-0.20684830580267691</c:v>
                </c:pt>
                <c:pt idx="62">
                  <c:v>-0.20804824724553442</c:v>
                </c:pt>
                <c:pt idx="63">
                  <c:v>-0.20925058857127773</c:v>
                </c:pt>
                <c:pt idx="64">
                  <c:v>-0.21045053001413525</c:v>
                </c:pt>
                <c:pt idx="65">
                  <c:v>-0.21165287133987856</c:v>
                </c:pt>
                <c:pt idx="66">
                  <c:v>-0.21285281278273627</c:v>
                </c:pt>
                <c:pt idx="67">
                  <c:v>-0.21405515410847958</c:v>
                </c:pt>
                <c:pt idx="68">
                  <c:v>-0.21525509555133709</c:v>
                </c:pt>
                <c:pt idx="69">
                  <c:v>-0.2164550369941948</c:v>
                </c:pt>
                <c:pt idx="70">
                  <c:v>-0.21765737831993792</c:v>
                </c:pt>
                <c:pt idx="71">
                  <c:v>-0.21885731976279563</c:v>
                </c:pt>
                <c:pt idx="72">
                  <c:v>-0.22005966108853894</c:v>
                </c:pt>
                <c:pt idx="73">
                  <c:v>-0.22125960253139645</c:v>
                </c:pt>
                <c:pt idx="74">
                  <c:v>-0.22246194385713977</c:v>
                </c:pt>
                <c:pt idx="75">
                  <c:v>-0.22366188529999748</c:v>
                </c:pt>
                <c:pt idx="76">
                  <c:v>-0.22486182674285499</c:v>
                </c:pt>
                <c:pt idx="77">
                  <c:v>-0.2260641680685983</c:v>
                </c:pt>
                <c:pt idx="78">
                  <c:v>-0.22726410951145581</c:v>
                </c:pt>
                <c:pt idx="79">
                  <c:v>-0.22846645083719913</c:v>
                </c:pt>
                <c:pt idx="80">
                  <c:v>-0.22966639228005684</c:v>
                </c:pt>
                <c:pt idx="81">
                  <c:v>-0.23086873360580015</c:v>
                </c:pt>
                <c:pt idx="82">
                  <c:v>-0.23206867504865766</c:v>
                </c:pt>
                <c:pt idx="83">
                  <c:v>-0.23327101637440098</c:v>
                </c:pt>
                <c:pt idx="84">
                  <c:v>-0.23447095781725857</c:v>
                </c:pt>
                <c:pt idx="85">
                  <c:v>-0.23567089926011611</c:v>
                </c:pt>
                <c:pt idx="86">
                  <c:v>-0.23687324058585943</c:v>
                </c:pt>
                <c:pt idx="87">
                  <c:v>-0.23807318202871702</c:v>
                </c:pt>
                <c:pt idx="88">
                  <c:v>-0.23927552335446034</c:v>
                </c:pt>
                <c:pt idx="89">
                  <c:v>-0.24047546479731793</c:v>
                </c:pt>
                <c:pt idx="90">
                  <c:v>-0.24167780612306125</c:v>
                </c:pt>
                <c:pt idx="91">
                  <c:v>-0.24287774756591879</c:v>
                </c:pt>
                <c:pt idx="92">
                  <c:v>-0.24408008889166211</c:v>
                </c:pt>
                <c:pt idx="93">
                  <c:v>-0.2452800303345197</c:v>
                </c:pt>
                <c:pt idx="94">
                  <c:v>-0.24647997177737729</c:v>
                </c:pt>
                <c:pt idx="95">
                  <c:v>-0.24768231310312061</c:v>
                </c:pt>
                <c:pt idx="96">
                  <c:v>-0.24888225454597815</c:v>
                </c:pt>
                <c:pt idx="97">
                  <c:v>-0.25008459587172144</c:v>
                </c:pt>
                <c:pt idx="98">
                  <c:v>-0.25128453731457906</c:v>
                </c:pt>
                <c:pt idx="99">
                  <c:v>-0.25248687864032238</c:v>
                </c:pt>
              </c:numCache>
            </c:numRef>
          </c:yVal>
          <c:smooth val="0"/>
          <c:extLst>
            <c:ext xmlns:c16="http://schemas.microsoft.com/office/drawing/2014/chart" uri="{C3380CC4-5D6E-409C-BE32-E72D297353CC}">
              <c16:uniqueId val="{00000009-79CC-487D-ADC3-2AE17A872906}"/>
            </c:ext>
          </c:extLst>
        </c:ser>
        <c:ser>
          <c:idx val="5"/>
          <c:order val="5"/>
          <c:tx>
            <c:strRef>
              <c:f>'[1]decision support'!$AA$1</c:f>
              <c:strCache>
                <c:ptCount val="1"/>
                <c:pt idx="0">
                  <c:v>Sep</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poly"/>
            <c:order val="5"/>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support'!$AA$2:$AA$101</c:f>
              <c:numCache>
                <c:formatCode>General</c:formatCode>
                <c:ptCount val="100"/>
                <c:pt idx="0">
                  <c:v>-3.0883217268954741E-2</c:v>
                </c:pt>
                <c:pt idx="1">
                  <c:v>-5.5897910841184756E-2</c:v>
                </c:pt>
                <c:pt idx="2">
                  <c:v>-6.4954494452063305E-2</c:v>
                </c:pt>
                <c:pt idx="3">
                  <c:v>-7.2301280567082835E-2</c:v>
                </c:pt>
                <c:pt idx="4">
                  <c:v>-7.9639161486811383E-2</c:v>
                </c:pt>
                <c:pt idx="5">
                  <c:v>-8.6977042406539945E-2</c:v>
                </c:pt>
                <c:pt idx="6">
                  <c:v>-9.4323828521559475E-2</c:v>
                </c:pt>
                <c:pt idx="7">
                  <c:v>-0.10166170944128802</c:v>
                </c:pt>
                <c:pt idx="8">
                  <c:v>-0.10842075266710596</c:v>
                </c:pt>
                <c:pt idx="9">
                  <c:v>-0.11316544071811488</c:v>
                </c:pt>
                <c:pt idx="10">
                  <c:v>-0.11689671754501579</c:v>
                </c:pt>
                <c:pt idx="11">
                  <c:v>-0.11689671754501579</c:v>
                </c:pt>
                <c:pt idx="12">
                  <c:v>-0.11689671754501579</c:v>
                </c:pt>
                <c:pt idx="13">
                  <c:v>-0.11689671754501579</c:v>
                </c:pt>
                <c:pt idx="14">
                  <c:v>-0.11689671754501579</c:v>
                </c:pt>
                <c:pt idx="15">
                  <c:v>-0.11689671754501579</c:v>
                </c:pt>
                <c:pt idx="16">
                  <c:v>-0.11689671754501579</c:v>
                </c:pt>
                <c:pt idx="17">
                  <c:v>-0.11689671754501579</c:v>
                </c:pt>
                <c:pt idx="18">
                  <c:v>-0.11689671754501579</c:v>
                </c:pt>
                <c:pt idx="19">
                  <c:v>-0.11689671754501579</c:v>
                </c:pt>
                <c:pt idx="20">
                  <c:v>-0.11689671754501579</c:v>
                </c:pt>
                <c:pt idx="21">
                  <c:v>-0.11689671754501579</c:v>
                </c:pt>
                <c:pt idx="22">
                  <c:v>-0.11689671754501579</c:v>
                </c:pt>
                <c:pt idx="23">
                  <c:v>-0.11689671754501579</c:v>
                </c:pt>
                <c:pt idx="24">
                  <c:v>-0.11689671754501579</c:v>
                </c:pt>
                <c:pt idx="25">
                  <c:v>-0.11689671754501579</c:v>
                </c:pt>
                <c:pt idx="26">
                  <c:v>-0.11689671754501579</c:v>
                </c:pt>
                <c:pt idx="27">
                  <c:v>-0.11689671754501579</c:v>
                </c:pt>
                <c:pt idx="28">
                  <c:v>-0.11689671754501579</c:v>
                </c:pt>
                <c:pt idx="29">
                  <c:v>-0.11689671754501579</c:v>
                </c:pt>
                <c:pt idx="30">
                  <c:v>-0.11689671754501579</c:v>
                </c:pt>
                <c:pt idx="31">
                  <c:v>-0.11689671754501579</c:v>
                </c:pt>
                <c:pt idx="32">
                  <c:v>-0.11689671754501579</c:v>
                </c:pt>
                <c:pt idx="33">
                  <c:v>-0.11689671754501579</c:v>
                </c:pt>
                <c:pt idx="34">
                  <c:v>-0.11689671754501579</c:v>
                </c:pt>
                <c:pt idx="35">
                  <c:v>-0.11689671754501579</c:v>
                </c:pt>
                <c:pt idx="36">
                  <c:v>-0.11689671754501579</c:v>
                </c:pt>
                <c:pt idx="37">
                  <c:v>-0.11689671754501579</c:v>
                </c:pt>
                <c:pt idx="38">
                  <c:v>-0.11689671754501579</c:v>
                </c:pt>
                <c:pt idx="39">
                  <c:v>-0.11689671754501579</c:v>
                </c:pt>
                <c:pt idx="40">
                  <c:v>-0.11689671754501579</c:v>
                </c:pt>
                <c:pt idx="41">
                  <c:v>-0.11689671754501579</c:v>
                </c:pt>
                <c:pt idx="42">
                  <c:v>-0.11689671754501579</c:v>
                </c:pt>
                <c:pt idx="43">
                  <c:v>-0.11689671754501579</c:v>
                </c:pt>
                <c:pt idx="44">
                  <c:v>-0.11689671754501579</c:v>
                </c:pt>
                <c:pt idx="45">
                  <c:v>-0.11689671754501579</c:v>
                </c:pt>
                <c:pt idx="46">
                  <c:v>-0.11689671754501579</c:v>
                </c:pt>
                <c:pt idx="47">
                  <c:v>-0.11689671754501579</c:v>
                </c:pt>
                <c:pt idx="48">
                  <c:v>-0.11689671754501579</c:v>
                </c:pt>
                <c:pt idx="49">
                  <c:v>-0.11689671754501579</c:v>
                </c:pt>
                <c:pt idx="50">
                  <c:v>-0.11689671754501579</c:v>
                </c:pt>
                <c:pt idx="51">
                  <c:v>-0.11689671754501579</c:v>
                </c:pt>
                <c:pt idx="52">
                  <c:v>-0.11689671754501579</c:v>
                </c:pt>
                <c:pt idx="53">
                  <c:v>-0.11689671754501579</c:v>
                </c:pt>
                <c:pt idx="54">
                  <c:v>-0.11689671754501579</c:v>
                </c:pt>
                <c:pt idx="55">
                  <c:v>-0.11689671754501579</c:v>
                </c:pt>
                <c:pt idx="56">
                  <c:v>-0.11689671754501579</c:v>
                </c:pt>
                <c:pt idx="57">
                  <c:v>-0.11689671754501579</c:v>
                </c:pt>
                <c:pt idx="58">
                  <c:v>-0.11689671754501579</c:v>
                </c:pt>
                <c:pt idx="59">
                  <c:v>-0.11689671754501579</c:v>
                </c:pt>
                <c:pt idx="60">
                  <c:v>-0.11689671754501579</c:v>
                </c:pt>
                <c:pt idx="61">
                  <c:v>-0.11689671754501579</c:v>
                </c:pt>
                <c:pt idx="62">
                  <c:v>-0.11689671754501579</c:v>
                </c:pt>
                <c:pt idx="63">
                  <c:v>-0.11689671754501579</c:v>
                </c:pt>
                <c:pt idx="64">
                  <c:v>-0.11689671754501579</c:v>
                </c:pt>
                <c:pt idx="65">
                  <c:v>-0.11689671754501579</c:v>
                </c:pt>
                <c:pt idx="66">
                  <c:v>-0.11689671754501579</c:v>
                </c:pt>
                <c:pt idx="67">
                  <c:v>-0.11689671754501579</c:v>
                </c:pt>
                <c:pt idx="68">
                  <c:v>-0.11689671754501579</c:v>
                </c:pt>
                <c:pt idx="69">
                  <c:v>-0.11689671754501579</c:v>
                </c:pt>
                <c:pt idx="70">
                  <c:v>-0.11689671754501579</c:v>
                </c:pt>
                <c:pt idx="71">
                  <c:v>-0.11689671754501579</c:v>
                </c:pt>
                <c:pt idx="72">
                  <c:v>-0.11689671754501579</c:v>
                </c:pt>
                <c:pt idx="73">
                  <c:v>-0.11689671754501579</c:v>
                </c:pt>
                <c:pt idx="74">
                  <c:v>-0.11689671754501579</c:v>
                </c:pt>
                <c:pt idx="75">
                  <c:v>-0.11689671754501579</c:v>
                </c:pt>
                <c:pt idx="76">
                  <c:v>-0.11689671754501579</c:v>
                </c:pt>
                <c:pt idx="77">
                  <c:v>-0.11689671754501579</c:v>
                </c:pt>
                <c:pt idx="78">
                  <c:v>-0.11689671754501579</c:v>
                </c:pt>
                <c:pt idx="79">
                  <c:v>-0.11689671754501579</c:v>
                </c:pt>
                <c:pt idx="80">
                  <c:v>-0.11689671754501579</c:v>
                </c:pt>
                <c:pt idx="81">
                  <c:v>-0.11689671754501579</c:v>
                </c:pt>
                <c:pt idx="82">
                  <c:v>-0.11689671754501579</c:v>
                </c:pt>
                <c:pt idx="83">
                  <c:v>-0.11689671754501579</c:v>
                </c:pt>
                <c:pt idx="84">
                  <c:v>-0.11689671754501579</c:v>
                </c:pt>
                <c:pt idx="85">
                  <c:v>-0.11689671754501579</c:v>
                </c:pt>
                <c:pt idx="86">
                  <c:v>-0.11689671754501579</c:v>
                </c:pt>
                <c:pt idx="87">
                  <c:v>-0.11689671754501579</c:v>
                </c:pt>
                <c:pt idx="88">
                  <c:v>-0.11689671754501579</c:v>
                </c:pt>
                <c:pt idx="89">
                  <c:v>-0.11689671754501579</c:v>
                </c:pt>
                <c:pt idx="90">
                  <c:v>-0.11689671754501579</c:v>
                </c:pt>
                <c:pt idx="91">
                  <c:v>-0.11689671754501579</c:v>
                </c:pt>
                <c:pt idx="92">
                  <c:v>-0.11689671754501579</c:v>
                </c:pt>
                <c:pt idx="93">
                  <c:v>-0.11689671754501579</c:v>
                </c:pt>
                <c:pt idx="94">
                  <c:v>-0.11689671754501579</c:v>
                </c:pt>
                <c:pt idx="95">
                  <c:v>-0.11689671754501579</c:v>
                </c:pt>
                <c:pt idx="96">
                  <c:v>-0.11689671754501579</c:v>
                </c:pt>
                <c:pt idx="97">
                  <c:v>-0.11689671754501579</c:v>
                </c:pt>
                <c:pt idx="98">
                  <c:v>-0.11689671754501579</c:v>
                </c:pt>
                <c:pt idx="99">
                  <c:v>-0.11689671754501579</c:v>
                </c:pt>
              </c:numCache>
            </c:numRef>
          </c:yVal>
          <c:smooth val="0"/>
          <c:extLst>
            <c:ext xmlns:c16="http://schemas.microsoft.com/office/drawing/2014/chart" uri="{C3380CC4-5D6E-409C-BE32-E72D297353CC}">
              <c16:uniqueId val="{0000000B-79CC-487D-ADC3-2AE17A872906}"/>
            </c:ext>
          </c:extLst>
        </c:ser>
        <c:ser>
          <c:idx val="6"/>
          <c:order val="6"/>
          <c:tx>
            <c:strRef>
              <c:f>'[1]decision support'!$AB$1</c:f>
              <c:strCache>
                <c:ptCount val="1"/>
                <c:pt idx="0">
                  <c:v>Oct</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poly"/>
            <c:order val="5"/>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support'!$AB$2:$AB$101</c:f>
              <c:numCache>
                <c:formatCode>General</c:formatCode>
                <c:ptCount val="100"/>
                <c:pt idx="0">
                  <c:v>-2.245683991118759E-2</c:v>
                </c:pt>
                <c:pt idx="1">
                  <c:v>-3.5950881326747917E-2</c:v>
                </c:pt>
                <c:pt idx="2">
                  <c:v>-3.9902125152929499E-2</c:v>
                </c:pt>
                <c:pt idx="3">
                  <c:v>-4.386243146495087E-2</c:v>
                </c:pt>
                <c:pt idx="4">
                  <c:v>-4.7822737776972234E-2</c:v>
                </c:pt>
                <c:pt idx="5">
                  <c:v>-5.1783044088993598E-2</c:v>
                </c:pt>
                <c:pt idx="6">
                  <c:v>-5.5743350401014968E-2</c:v>
                </c:pt>
                <c:pt idx="7">
                  <c:v>-5.9703656713036332E-2</c:v>
                </c:pt>
                <c:pt idx="8">
                  <c:v>-6.3654900539217921E-2</c:v>
                </c:pt>
                <c:pt idx="9">
                  <c:v>-6.7615206851239285E-2</c:v>
                </c:pt>
                <c:pt idx="10">
                  <c:v>-7.1575513163260648E-2</c:v>
                </c:pt>
                <c:pt idx="11">
                  <c:v>-7.5535819475282012E-2</c:v>
                </c:pt>
                <c:pt idx="12">
                  <c:v>-7.9496125787303515E-2</c:v>
                </c:pt>
                <c:pt idx="13">
                  <c:v>-8.3456432099324879E-2</c:v>
                </c:pt>
                <c:pt idx="14">
                  <c:v>-8.5767365988490635E-2</c:v>
                </c:pt>
                <c:pt idx="15">
                  <c:v>-8.5767365988490635E-2</c:v>
                </c:pt>
                <c:pt idx="16">
                  <c:v>-8.5767365988490635E-2</c:v>
                </c:pt>
                <c:pt idx="17">
                  <c:v>-8.5767365988490635E-2</c:v>
                </c:pt>
                <c:pt idx="18">
                  <c:v>-8.5767365988490635E-2</c:v>
                </c:pt>
                <c:pt idx="19">
                  <c:v>-8.5767365988490635E-2</c:v>
                </c:pt>
                <c:pt idx="20">
                  <c:v>-8.5767365988490635E-2</c:v>
                </c:pt>
                <c:pt idx="21">
                  <c:v>-8.5767365988490635E-2</c:v>
                </c:pt>
                <c:pt idx="22">
                  <c:v>-8.5767365988490635E-2</c:v>
                </c:pt>
                <c:pt idx="23">
                  <c:v>-8.5767365988490635E-2</c:v>
                </c:pt>
                <c:pt idx="24">
                  <c:v>-8.5767365988490635E-2</c:v>
                </c:pt>
                <c:pt idx="25">
                  <c:v>-8.5767365988490635E-2</c:v>
                </c:pt>
                <c:pt idx="26">
                  <c:v>-8.5767365988490635E-2</c:v>
                </c:pt>
                <c:pt idx="27">
                  <c:v>-8.5767365988490635E-2</c:v>
                </c:pt>
                <c:pt idx="28">
                  <c:v>-8.5767365988490635E-2</c:v>
                </c:pt>
                <c:pt idx="29">
                  <c:v>-8.5767365988490635E-2</c:v>
                </c:pt>
                <c:pt idx="30">
                  <c:v>-8.5767365988490635E-2</c:v>
                </c:pt>
                <c:pt idx="31">
                  <c:v>-8.5767365988490635E-2</c:v>
                </c:pt>
                <c:pt idx="32">
                  <c:v>-8.5767365988490635E-2</c:v>
                </c:pt>
                <c:pt idx="33">
                  <c:v>-8.5767365988490635E-2</c:v>
                </c:pt>
                <c:pt idx="34">
                  <c:v>-8.5767365988490635E-2</c:v>
                </c:pt>
                <c:pt idx="35">
                  <c:v>-8.5767365988490635E-2</c:v>
                </c:pt>
                <c:pt idx="36">
                  <c:v>-8.5767365988490635E-2</c:v>
                </c:pt>
                <c:pt idx="37">
                  <c:v>-8.5767365988490635E-2</c:v>
                </c:pt>
                <c:pt idx="38">
                  <c:v>-8.5767365988490635E-2</c:v>
                </c:pt>
                <c:pt idx="39">
                  <c:v>-8.5767365988490635E-2</c:v>
                </c:pt>
                <c:pt idx="40">
                  <c:v>-8.5767365988490635E-2</c:v>
                </c:pt>
                <c:pt idx="41">
                  <c:v>-8.5767365988490635E-2</c:v>
                </c:pt>
                <c:pt idx="42">
                  <c:v>-8.5767365988490635E-2</c:v>
                </c:pt>
                <c:pt idx="43">
                  <c:v>-8.5767365988490635E-2</c:v>
                </c:pt>
                <c:pt idx="44">
                  <c:v>-8.5767365988490635E-2</c:v>
                </c:pt>
                <c:pt idx="45">
                  <c:v>-8.5767365988490635E-2</c:v>
                </c:pt>
                <c:pt idx="46">
                  <c:v>-8.5767365988490635E-2</c:v>
                </c:pt>
                <c:pt idx="47">
                  <c:v>-8.5767365988490635E-2</c:v>
                </c:pt>
                <c:pt idx="48">
                  <c:v>-8.5767365988490635E-2</c:v>
                </c:pt>
                <c:pt idx="49">
                  <c:v>-8.5767365988490635E-2</c:v>
                </c:pt>
                <c:pt idx="50">
                  <c:v>-8.5767365988490635E-2</c:v>
                </c:pt>
                <c:pt idx="51">
                  <c:v>-8.5767365988490635E-2</c:v>
                </c:pt>
                <c:pt idx="52">
                  <c:v>-8.5767365988490635E-2</c:v>
                </c:pt>
                <c:pt idx="53">
                  <c:v>-8.5767365988490635E-2</c:v>
                </c:pt>
                <c:pt idx="54">
                  <c:v>-8.5767365988490635E-2</c:v>
                </c:pt>
                <c:pt idx="55">
                  <c:v>-8.5767365988490635E-2</c:v>
                </c:pt>
                <c:pt idx="56">
                  <c:v>-8.5767365988490635E-2</c:v>
                </c:pt>
                <c:pt idx="57">
                  <c:v>-8.5767365988490635E-2</c:v>
                </c:pt>
                <c:pt idx="58">
                  <c:v>-8.5767365988490635E-2</c:v>
                </c:pt>
                <c:pt idx="59">
                  <c:v>-8.5767365988490635E-2</c:v>
                </c:pt>
                <c:pt idx="60">
                  <c:v>-8.5767365988490635E-2</c:v>
                </c:pt>
                <c:pt idx="61">
                  <c:v>-8.5767365988490635E-2</c:v>
                </c:pt>
                <c:pt idx="62">
                  <c:v>-8.5767365988490635E-2</c:v>
                </c:pt>
                <c:pt idx="63">
                  <c:v>-8.5767365988490635E-2</c:v>
                </c:pt>
                <c:pt idx="64">
                  <c:v>-8.5767365988490635E-2</c:v>
                </c:pt>
                <c:pt idx="65">
                  <c:v>-8.5767365988490635E-2</c:v>
                </c:pt>
                <c:pt idx="66">
                  <c:v>-8.5767365988490635E-2</c:v>
                </c:pt>
                <c:pt idx="67">
                  <c:v>-8.5767365988490635E-2</c:v>
                </c:pt>
                <c:pt idx="68">
                  <c:v>-8.5767365988490635E-2</c:v>
                </c:pt>
                <c:pt idx="69">
                  <c:v>-8.5767365988490635E-2</c:v>
                </c:pt>
                <c:pt idx="70">
                  <c:v>-8.5767365988490635E-2</c:v>
                </c:pt>
                <c:pt idx="71">
                  <c:v>-8.5767365988490635E-2</c:v>
                </c:pt>
                <c:pt idx="72">
                  <c:v>-8.5767365988490635E-2</c:v>
                </c:pt>
                <c:pt idx="73">
                  <c:v>-8.5767365988490635E-2</c:v>
                </c:pt>
                <c:pt idx="74">
                  <c:v>-8.5767365988490635E-2</c:v>
                </c:pt>
                <c:pt idx="75">
                  <c:v>-8.5767365988490635E-2</c:v>
                </c:pt>
                <c:pt idx="76">
                  <c:v>-8.5767365988490635E-2</c:v>
                </c:pt>
                <c:pt idx="77">
                  <c:v>-8.5767365988490635E-2</c:v>
                </c:pt>
                <c:pt idx="78">
                  <c:v>-8.5767365988490635E-2</c:v>
                </c:pt>
                <c:pt idx="79">
                  <c:v>-8.5767365988490635E-2</c:v>
                </c:pt>
                <c:pt idx="80">
                  <c:v>-8.5767365988490635E-2</c:v>
                </c:pt>
                <c:pt idx="81">
                  <c:v>-8.5767365988490635E-2</c:v>
                </c:pt>
                <c:pt idx="82">
                  <c:v>-8.5767365988490635E-2</c:v>
                </c:pt>
                <c:pt idx="83">
                  <c:v>-8.5767365988490635E-2</c:v>
                </c:pt>
                <c:pt idx="84">
                  <c:v>-8.5767365988490635E-2</c:v>
                </c:pt>
                <c:pt idx="85">
                  <c:v>-8.5767365988490635E-2</c:v>
                </c:pt>
                <c:pt idx="86">
                  <c:v>-8.5767365988490635E-2</c:v>
                </c:pt>
                <c:pt idx="87">
                  <c:v>-8.5767365988490635E-2</c:v>
                </c:pt>
                <c:pt idx="88">
                  <c:v>-8.5767365988490635E-2</c:v>
                </c:pt>
                <c:pt idx="89">
                  <c:v>-8.5767365988490635E-2</c:v>
                </c:pt>
                <c:pt idx="90">
                  <c:v>-8.5767365988490635E-2</c:v>
                </c:pt>
                <c:pt idx="91">
                  <c:v>-8.5767365988490635E-2</c:v>
                </c:pt>
                <c:pt idx="92">
                  <c:v>-8.5767365988490635E-2</c:v>
                </c:pt>
                <c:pt idx="93">
                  <c:v>-8.5767365988490635E-2</c:v>
                </c:pt>
                <c:pt idx="94">
                  <c:v>-8.5767365988490635E-2</c:v>
                </c:pt>
                <c:pt idx="95">
                  <c:v>-8.5767365988490635E-2</c:v>
                </c:pt>
                <c:pt idx="96">
                  <c:v>-8.5767365988490635E-2</c:v>
                </c:pt>
                <c:pt idx="97">
                  <c:v>-8.5767365988490635E-2</c:v>
                </c:pt>
                <c:pt idx="98">
                  <c:v>-8.5767365988490635E-2</c:v>
                </c:pt>
                <c:pt idx="99">
                  <c:v>-8.5767365988490635E-2</c:v>
                </c:pt>
              </c:numCache>
            </c:numRef>
          </c:yVal>
          <c:smooth val="0"/>
          <c:extLst>
            <c:ext xmlns:c16="http://schemas.microsoft.com/office/drawing/2014/chart" uri="{C3380CC4-5D6E-409C-BE32-E72D297353CC}">
              <c16:uniqueId val="{0000000D-79CC-487D-ADC3-2AE17A872906}"/>
            </c:ext>
          </c:extLst>
        </c:ser>
        <c:ser>
          <c:idx val="7"/>
          <c:order val="7"/>
          <c:tx>
            <c:strRef>
              <c:f>'[1]decision support'!$AC$1</c:f>
              <c:strCache>
                <c:ptCount val="1"/>
                <c:pt idx="0">
                  <c:v>Nov</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poly"/>
            <c:order val="4"/>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support'!$AC$2:$AC$101</c:f>
              <c:numCache>
                <c:formatCode>General</c:formatCode>
                <c:ptCount val="100"/>
                <c:pt idx="0">
                  <c:v>-2.0223248122373035E-2</c:v>
                </c:pt>
                <c:pt idx="1">
                  <c:v>-3.1764624819127701E-2</c:v>
                </c:pt>
                <c:pt idx="2">
                  <c:v>-3.7991800454764704E-2</c:v>
                </c:pt>
                <c:pt idx="3">
                  <c:v>-4.2556673327361697E-2</c:v>
                </c:pt>
                <c:pt idx="4">
                  <c:v>-4.7130159167642752E-2</c:v>
                </c:pt>
                <c:pt idx="5">
                  <c:v>-5.1695032040239744E-2</c:v>
                </c:pt>
                <c:pt idx="6">
                  <c:v>-5.6259904912836736E-2</c:v>
                </c:pt>
                <c:pt idx="7">
                  <c:v>-6.0833390753117916E-2</c:v>
                </c:pt>
                <c:pt idx="8">
                  <c:v>-6.3968510990146707E-2</c:v>
                </c:pt>
                <c:pt idx="9">
                  <c:v>-6.5958106525184329E-2</c:v>
                </c:pt>
                <c:pt idx="10">
                  <c:v>-6.7672087094329217E-2</c:v>
                </c:pt>
                <c:pt idx="11">
                  <c:v>-6.9394680631158293E-2</c:v>
                </c:pt>
                <c:pt idx="12">
                  <c:v>-7.110866120030318E-2</c:v>
                </c:pt>
                <c:pt idx="13">
                  <c:v>-7.2262798869978648E-2</c:v>
                </c:pt>
                <c:pt idx="14">
                  <c:v>-7.2788189898711442E-2</c:v>
                </c:pt>
                <c:pt idx="15">
                  <c:v>-7.3313580927444361E-2</c:v>
                </c:pt>
                <c:pt idx="16">
                  <c:v>-7.3838971956177168E-2</c:v>
                </c:pt>
                <c:pt idx="17">
                  <c:v>-7.4364362984910087E-2</c:v>
                </c:pt>
                <c:pt idx="18">
                  <c:v>-7.4889754013642881E-2</c:v>
                </c:pt>
                <c:pt idx="19">
                  <c:v>-7.54151450423758E-2</c:v>
                </c:pt>
                <c:pt idx="20">
                  <c:v>-7.5940536071108608E-2</c:v>
                </c:pt>
                <c:pt idx="21">
                  <c:v>-7.6465927099841527E-2</c:v>
                </c:pt>
                <c:pt idx="22">
                  <c:v>-7.6991318128574321E-2</c:v>
                </c:pt>
                <c:pt idx="23">
                  <c:v>-7.751670915730724E-2</c:v>
                </c:pt>
                <c:pt idx="24">
                  <c:v>-7.8042100186040048E-2</c:v>
                </c:pt>
                <c:pt idx="25">
                  <c:v>-7.8567491214772966E-2</c:v>
                </c:pt>
                <c:pt idx="26">
                  <c:v>-7.909288224350576E-2</c:v>
                </c:pt>
                <c:pt idx="27">
                  <c:v>-7.9618273272238679E-2</c:v>
                </c:pt>
                <c:pt idx="28">
                  <c:v>-8.0143664300971473E-2</c:v>
                </c:pt>
                <c:pt idx="29">
                  <c:v>-8.0669055329704406E-2</c:v>
                </c:pt>
                <c:pt idx="30">
                  <c:v>-8.11944463584372E-2</c:v>
                </c:pt>
                <c:pt idx="31">
                  <c:v>-8.1719837387170119E-2</c:v>
                </c:pt>
                <c:pt idx="32">
                  <c:v>-8.2245228415902913E-2</c:v>
                </c:pt>
                <c:pt idx="33">
                  <c:v>-8.2770619444635846E-2</c:v>
                </c:pt>
                <c:pt idx="34">
                  <c:v>-8.329601047336864E-2</c:v>
                </c:pt>
                <c:pt idx="35">
                  <c:v>-8.3821401502101558E-2</c:v>
                </c:pt>
                <c:pt idx="36">
                  <c:v>-8.4346792530834352E-2</c:v>
                </c:pt>
                <c:pt idx="37">
                  <c:v>-8.4872183559567271E-2</c:v>
                </c:pt>
                <c:pt idx="38">
                  <c:v>-8.5397574588300204E-2</c:v>
                </c:pt>
                <c:pt idx="39">
                  <c:v>-8.5922965617032998E-2</c:v>
                </c:pt>
                <c:pt idx="40">
                  <c:v>-8.6448356645765917E-2</c:v>
                </c:pt>
                <c:pt idx="41">
                  <c:v>-8.6973747674498711E-2</c:v>
                </c:pt>
                <c:pt idx="42">
                  <c:v>-8.7499138703231644E-2</c:v>
                </c:pt>
                <c:pt idx="43">
                  <c:v>-8.8024529731964438E-2</c:v>
                </c:pt>
                <c:pt idx="44">
                  <c:v>-8.8549920760697357E-2</c:v>
                </c:pt>
                <c:pt idx="45">
                  <c:v>-8.907531178943015E-2</c:v>
                </c:pt>
                <c:pt idx="46">
                  <c:v>-8.9273410046165458E-2</c:v>
                </c:pt>
                <c:pt idx="47">
                  <c:v>-8.9273410046165458E-2</c:v>
                </c:pt>
                <c:pt idx="48">
                  <c:v>-8.9273410046165458E-2</c:v>
                </c:pt>
                <c:pt idx="49">
                  <c:v>-8.9273410046165458E-2</c:v>
                </c:pt>
                <c:pt idx="50">
                  <c:v>-8.9273410046165458E-2</c:v>
                </c:pt>
                <c:pt idx="51">
                  <c:v>-8.9273410046165458E-2</c:v>
                </c:pt>
                <c:pt idx="52">
                  <c:v>-8.9273410046165458E-2</c:v>
                </c:pt>
                <c:pt idx="53">
                  <c:v>-8.9273410046165458E-2</c:v>
                </c:pt>
                <c:pt idx="54">
                  <c:v>-8.9273410046165458E-2</c:v>
                </c:pt>
                <c:pt idx="55">
                  <c:v>-8.9273410046165458E-2</c:v>
                </c:pt>
                <c:pt idx="56">
                  <c:v>-8.9273410046165458E-2</c:v>
                </c:pt>
                <c:pt idx="57">
                  <c:v>-8.9273410046165458E-2</c:v>
                </c:pt>
                <c:pt idx="58">
                  <c:v>-8.9273410046165458E-2</c:v>
                </c:pt>
                <c:pt idx="59">
                  <c:v>-8.9273410046165458E-2</c:v>
                </c:pt>
                <c:pt idx="60">
                  <c:v>-8.9273410046165458E-2</c:v>
                </c:pt>
                <c:pt idx="61">
                  <c:v>-8.9273410046165458E-2</c:v>
                </c:pt>
                <c:pt idx="62">
                  <c:v>-8.9273410046165458E-2</c:v>
                </c:pt>
                <c:pt idx="63">
                  <c:v>-8.9273410046165458E-2</c:v>
                </c:pt>
                <c:pt idx="64">
                  <c:v>-8.9273410046165458E-2</c:v>
                </c:pt>
                <c:pt idx="65">
                  <c:v>-8.9273410046165458E-2</c:v>
                </c:pt>
                <c:pt idx="66">
                  <c:v>-8.9273410046165458E-2</c:v>
                </c:pt>
                <c:pt idx="67">
                  <c:v>-8.9273410046165458E-2</c:v>
                </c:pt>
                <c:pt idx="68">
                  <c:v>-8.9273410046165458E-2</c:v>
                </c:pt>
                <c:pt idx="69">
                  <c:v>-8.9273410046165458E-2</c:v>
                </c:pt>
                <c:pt idx="70">
                  <c:v>-8.9273410046165458E-2</c:v>
                </c:pt>
                <c:pt idx="71">
                  <c:v>-8.9273410046165458E-2</c:v>
                </c:pt>
                <c:pt idx="72">
                  <c:v>-8.9273410046165458E-2</c:v>
                </c:pt>
                <c:pt idx="73">
                  <c:v>-8.9273410046165458E-2</c:v>
                </c:pt>
                <c:pt idx="74">
                  <c:v>-8.9273410046165458E-2</c:v>
                </c:pt>
                <c:pt idx="75">
                  <c:v>-8.9273410046165458E-2</c:v>
                </c:pt>
                <c:pt idx="76">
                  <c:v>-8.9273410046165458E-2</c:v>
                </c:pt>
                <c:pt idx="77">
                  <c:v>-8.9273410046165458E-2</c:v>
                </c:pt>
                <c:pt idx="78">
                  <c:v>-8.9273410046165458E-2</c:v>
                </c:pt>
                <c:pt idx="79">
                  <c:v>-8.9273410046165458E-2</c:v>
                </c:pt>
                <c:pt idx="80">
                  <c:v>-8.9273410046165458E-2</c:v>
                </c:pt>
                <c:pt idx="81">
                  <c:v>-8.9273410046165458E-2</c:v>
                </c:pt>
                <c:pt idx="82">
                  <c:v>-8.9273410046165458E-2</c:v>
                </c:pt>
                <c:pt idx="83">
                  <c:v>-8.9273410046165458E-2</c:v>
                </c:pt>
                <c:pt idx="84">
                  <c:v>-8.9273410046165458E-2</c:v>
                </c:pt>
                <c:pt idx="85">
                  <c:v>-8.9273410046165458E-2</c:v>
                </c:pt>
                <c:pt idx="86">
                  <c:v>-8.9273410046165458E-2</c:v>
                </c:pt>
                <c:pt idx="87">
                  <c:v>-8.9273410046165458E-2</c:v>
                </c:pt>
                <c:pt idx="88">
                  <c:v>-8.9273410046165458E-2</c:v>
                </c:pt>
                <c:pt idx="89">
                  <c:v>-8.9273410046165458E-2</c:v>
                </c:pt>
                <c:pt idx="90">
                  <c:v>-8.9273410046165458E-2</c:v>
                </c:pt>
                <c:pt idx="91">
                  <c:v>-8.9273410046165458E-2</c:v>
                </c:pt>
                <c:pt idx="92">
                  <c:v>-8.9273410046165458E-2</c:v>
                </c:pt>
                <c:pt idx="93">
                  <c:v>-8.9273410046165458E-2</c:v>
                </c:pt>
                <c:pt idx="94">
                  <c:v>-8.9273410046165458E-2</c:v>
                </c:pt>
                <c:pt idx="95">
                  <c:v>-8.9273410046165458E-2</c:v>
                </c:pt>
                <c:pt idx="96">
                  <c:v>-8.9273410046165458E-2</c:v>
                </c:pt>
                <c:pt idx="97">
                  <c:v>-8.9273410046165458E-2</c:v>
                </c:pt>
                <c:pt idx="98">
                  <c:v>-8.9273410046165458E-2</c:v>
                </c:pt>
                <c:pt idx="99">
                  <c:v>-8.9273410046165458E-2</c:v>
                </c:pt>
              </c:numCache>
            </c:numRef>
          </c:yVal>
          <c:smooth val="0"/>
          <c:extLst>
            <c:ext xmlns:c16="http://schemas.microsoft.com/office/drawing/2014/chart" uri="{C3380CC4-5D6E-409C-BE32-E72D297353CC}">
              <c16:uniqueId val="{0000000F-79CC-487D-ADC3-2AE17A872906}"/>
            </c:ext>
          </c:extLst>
        </c:ser>
        <c:ser>
          <c:idx val="8"/>
          <c:order val="8"/>
          <c:tx>
            <c:strRef>
              <c:f>'[1]decision support'!$AD$1</c:f>
              <c:strCache>
                <c:ptCount val="1"/>
                <c:pt idx="0">
                  <c:v>Dec</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trendline>
            <c:spPr>
              <a:ln w="19050" cap="rnd">
                <a:solidFill>
                  <a:schemeClr val="accent3">
                    <a:lumMod val="60000"/>
                  </a:schemeClr>
                </a:solidFill>
                <a:prstDash val="sysDot"/>
              </a:ln>
              <a:effectLst/>
            </c:spPr>
            <c:trendlineType val="linear"/>
            <c:dispRSqr val="0"/>
            <c:dispEq val="0"/>
          </c:trendline>
          <c:trendline>
            <c:spPr>
              <a:ln w="19050" cap="rnd">
                <a:solidFill>
                  <a:schemeClr val="accent3">
                    <a:lumMod val="60000"/>
                  </a:schemeClr>
                </a:solidFill>
                <a:prstDash val="sysDot"/>
              </a:ln>
              <a:effectLst/>
            </c:spPr>
            <c:trendlineType val="poly"/>
            <c:order val="5"/>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support'!$AD$2:$AD$101</c:f>
              <c:numCache>
                <c:formatCode>General</c:formatCode>
                <c:ptCount val="100"/>
                <c:pt idx="0">
                  <c:v>-1.7324872499290548E-2</c:v>
                </c:pt>
                <c:pt idx="1">
                  <c:v>-2.4222712772214775E-2</c:v>
                </c:pt>
                <c:pt idx="2">
                  <c:v>-2.8951829989827562E-2</c:v>
                </c:pt>
                <c:pt idx="3">
                  <c:v>-3.3680947207440345E-2</c:v>
                </c:pt>
                <c:pt idx="4">
                  <c:v>-3.8410064425052938E-2</c:v>
                </c:pt>
                <c:pt idx="5">
                  <c:v>-4.3137797645821194E-2</c:v>
                </c:pt>
                <c:pt idx="6">
                  <c:v>-4.7866914863433974E-2</c:v>
                </c:pt>
                <c:pt idx="7">
                  <c:v>-5.1212035236559643E-2</c:v>
                </c:pt>
                <c:pt idx="8">
                  <c:v>-5.1212035236559643E-2</c:v>
                </c:pt>
                <c:pt idx="9">
                  <c:v>-5.1212035236559643E-2</c:v>
                </c:pt>
                <c:pt idx="10">
                  <c:v>-5.1212035236559643E-2</c:v>
                </c:pt>
                <c:pt idx="11">
                  <c:v>-5.1212035236559643E-2</c:v>
                </c:pt>
                <c:pt idx="12">
                  <c:v>-5.1212035236559643E-2</c:v>
                </c:pt>
                <c:pt idx="13">
                  <c:v>-5.1212035236559643E-2</c:v>
                </c:pt>
                <c:pt idx="14">
                  <c:v>-5.1212035236559643E-2</c:v>
                </c:pt>
                <c:pt idx="15">
                  <c:v>-5.1212035236559643E-2</c:v>
                </c:pt>
                <c:pt idx="16">
                  <c:v>-5.1212035236559643E-2</c:v>
                </c:pt>
                <c:pt idx="17">
                  <c:v>-5.1212035236559643E-2</c:v>
                </c:pt>
                <c:pt idx="18">
                  <c:v>-5.1212035236559643E-2</c:v>
                </c:pt>
                <c:pt idx="19">
                  <c:v>-5.1212035236559643E-2</c:v>
                </c:pt>
                <c:pt idx="20">
                  <c:v>-5.1212035236559643E-2</c:v>
                </c:pt>
                <c:pt idx="21">
                  <c:v>-5.1212035236559643E-2</c:v>
                </c:pt>
                <c:pt idx="22">
                  <c:v>-5.1212035236559643E-2</c:v>
                </c:pt>
                <c:pt idx="23">
                  <c:v>-5.1212035236559643E-2</c:v>
                </c:pt>
                <c:pt idx="24">
                  <c:v>-5.1212035236559643E-2</c:v>
                </c:pt>
                <c:pt idx="25">
                  <c:v>-5.1212035236559643E-2</c:v>
                </c:pt>
                <c:pt idx="26">
                  <c:v>-5.1212035236559643E-2</c:v>
                </c:pt>
                <c:pt idx="27">
                  <c:v>-5.1212035236559643E-2</c:v>
                </c:pt>
                <c:pt idx="28">
                  <c:v>-5.1212035236559643E-2</c:v>
                </c:pt>
                <c:pt idx="29">
                  <c:v>-5.1212035236559643E-2</c:v>
                </c:pt>
                <c:pt idx="30">
                  <c:v>-5.1212035236559643E-2</c:v>
                </c:pt>
                <c:pt idx="31">
                  <c:v>-5.1212035236559643E-2</c:v>
                </c:pt>
                <c:pt idx="32">
                  <c:v>-5.1212035236559643E-2</c:v>
                </c:pt>
                <c:pt idx="33">
                  <c:v>-5.1212035236559643E-2</c:v>
                </c:pt>
                <c:pt idx="34">
                  <c:v>-5.1212035236559643E-2</c:v>
                </c:pt>
                <c:pt idx="35">
                  <c:v>-5.1212035236559643E-2</c:v>
                </c:pt>
                <c:pt idx="36">
                  <c:v>-5.1212035236559643E-2</c:v>
                </c:pt>
                <c:pt idx="37">
                  <c:v>-5.1212035236559643E-2</c:v>
                </c:pt>
                <c:pt idx="38">
                  <c:v>-5.1212035236559643E-2</c:v>
                </c:pt>
                <c:pt idx="39">
                  <c:v>-5.1212035236559643E-2</c:v>
                </c:pt>
                <c:pt idx="40">
                  <c:v>-5.1212035236559643E-2</c:v>
                </c:pt>
                <c:pt idx="41">
                  <c:v>-5.1212035236559643E-2</c:v>
                </c:pt>
                <c:pt idx="42">
                  <c:v>-5.1212035236559643E-2</c:v>
                </c:pt>
                <c:pt idx="43">
                  <c:v>-5.1212035236559643E-2</c:v>
                </c:pt>
                <c:pt idx="44">
                  <c:v>-5.1212035236559643E-2</c:v>
                </c:pt>
                <c:pt idx="45">
                  <c:v>-5.1212035236559643E-2</c:v>
                </c:pt>
                <c:pt idx="46">
                  <c:v>-5.1212035236559643E-2</c:v>
                </c:pt>
                <c:pt idx="47">
                  <c:v>-5.1212035236559643E-2</c:v>
                </c:pt>
                <c:pt idx="48">
                  <c:v>-5.1212035236559643E-2</c:v>
                </c:pt>
                <c:pt idx="49">
                  <c:v>-5.1212035236559643E-2</c:v>
                </c:pt>
                <c:pt idx="50">
                  <c:v>-5.1212035236559643E-2</c:v>
                </c:pt>
                <c:pt idx="51">
                  <c:v>-5.1212035236559643E-2</c:v>
                </c:pt>
                <c:pt idx="52">
                  <c:v>-5.1212035236559643E-2</c:v>
                </c:pt>
                <c:pt idx="53">
                  <c:v>-5.1212035236559643E-2</c:v>
                </c:pt>
                <c:pt idx="54">
                  <c:v>-5.1212035236559643E-2</c:v>
                </c:pt>
                <c:pt idx="55">
                  <c:v>-5.1212035236559643E-2</c:v>
                </c:pt>
                <c:pt idx="56">
                  <c:v>-5.1212035236559643E-2</c:v>
                </c:pt>
                <c:pt idx="57">
                  <c:v>-5.1212035236559643E-2</c:v>
                </c:pt>
                <c:pt idx="58">
                  <c:v>-5.1212035236559643E-2</c:v>
                </c:pt>
                <c:pt idx="59">
                  <c:v>-5.1212035236559643E-2</c:v>
                </c:pt>
                <c:pt idx="60">
                  <c:v>-5.1212035236559643E-2</c:v>
                </c:pt>
                <c:pt idx="61">
                  <c:v>-5.1212035236559643E-2</c:v>
                </c:pt>
                <c:pt idx="62">
                  <c:v>-5.1212035236559643E-2</c:v>
                </c:pt>
                <c:pt idx="63">
                  <c:v>-5.1212035236559643E-2</c:v>
                </c:pt>
                <c:pt idx="64">
                  <c:v>-5.1212035236559643E-2</c:v>
                </c:pt>
                <c:pt idx="65">
                  <c:v>-5.1212035236559643E-2</c:v>
                </c:pt>
                <c:pt idx="66">
                  <c:v>-5.1212035236559643E-2</c:v>
                </c:pt>
                <c:pt idx="67">
                  <c:v>-5.1212035236559643E-2</c:v>
                </c:pt>
                <c:pt idx="68">
                  <c:v>-5.1212035236559643E-2</c:v>
                </c:pt>
                <c:pt idx="69">
                  <c:v>-5.1212035236559643E-2</c:v>
                </c:pt>
                <c:pt idx="70">
                  <c:v>-5.1212035236559643E-2</c:v>
                </c:pt>
                <c:pt idx="71">
                  <c:v>-5.1212035236559643E-2</c:v>
                </c:pt>
                <c:pt idx="72">
                  <c:v>-5.1212035236559643E-2</c:v>
                </c:pt>
                <c:pt idx="73">
                  <c:v>-5.1212035236559643E-2</c:v>
                </c:pt>
                <c:pt idx="74">
                  <c:v>-5.1212035236559643E-2</c:v>
                </c:pt>
                <c:pt idx="75">
                  <c:v>-5.1212035236559643E-2</c:v>
                </c:pt>
                <c:pt idx="76">
                  <c:v>-5.1212035236559643E-2</c:v>
                </c:pt>
                <c:pt idx="77">
                  <c:v>-5.1212035236559643E-2</c:v>
                </c:pt>
                <c:pt idx="78">
                  <c:v>-5.1212035236559643E-2</c:v>
                </c:pt>
                <c:pt idx="79">
                  <c:v>-5.1212035236559643E-2</c:v>
                </c:pt>
                <c:pt idx="80">
                  <c:v>-5.1212035236559643E-2</c:v>
                </c:pt>
                <c:pt idx="81">
                  <c:v>-5.1212035236559643E-2</c:v>
                </c:pt>
                <c:pt idx="82">
                  <c:v>-5.1212035236559643E-2</c:v>
                </c:pt>
                <c:pt idx="83">
                  <c:v>-5.1212035236559643E-2</c:v>
                </c:pt>
                <c:pt idx="84">
                  <c:v>-5.1212035236559643E-2</c:v>
                </c:pt>
                <c:pt idx="85">
                  <c:v>-5.1212035236559643E-2</c:v>
                </c:pt>
                <c:pt idx="86">
                  <c:v>-5.1212035236559643E-2</c:v>
                </c:pt>
                <c:pt idx="87">
                  <c:v>-5.1212035236559643E-2</c:v>
                </c:pt>
                <c:pt idx="88">
                  <c:v>-5.1212035236559643E-2</c:v>
                </c:pt>
                <c:pt idx="89">
                  <c:v>-5.1212035236559643E-2</c:v>
                </c:pt>
                <c:pt idx="90">
                  <c:v>-5.1212035236559643E-2</c:v>
                </c:pt>
                <c:pt idx="91">
                  <c:v>-5.1212035236559643E-2</c:v>
                </c:pt>
                <c:pt idx="92">
                  <c:v>-5.1212035236559643E-2</c:v>
                </c:pt>
                <c:pt idx="93">
                  <c:v>-5.1212035236559643E-2</c:v>
                </c:pt>
                <c:pt idx="94">
                  <c:v>-5.1212035236559643E-2</c:v>
                </c:pt>
                <c:pt idx="95">
                  <c:v>-5.1212035236559643E-2</c:v>
                </c:pt>
                <c:pt idx="96">
                  <c:v>-5.1212035236559643E-2</c:v>
                </c:pt>
                <c:pt idx="97">
                  <c:v>-5.1212035236559643E-2</c:v>
                </c:pt>
                <c:pt idx="98">
                  <c:v>-5.1212035236559643E-2</c:v>
                </c:pt>
                <c:pt idx="99">
                  <c:v>-5.1212035236559643E-2</c:v>
                </c:pt>
              </c:numCache>
            </c:numRef>
          </c:yVal>
          <c:smooth val="0"/>
          <c:extLst>
            <c:ext xmlns:c16="http://schemas.microsoft.com/office/drawing/2014/chart" uri="{C3380CC4-5D6E-409C-BE32-E72D297353CC}">
              <c16:uniqueId val="{00000012-79CC-487D-ADC3-2AE17A872906}"/>
            </c:ext>
          </c:extLst>
        </c:ser>
        <c:ser>
          <c:idx val="9"/>
          <c:order val="9"/>
          <c:tx>
            <c:strRef>
              <c:f>'[1]decision support'!$S$1</c:f>
              <c:strCache>
                <c:ptCount val="1"/>
                <c:pt idx="0">
                  <c:v>Jan</c:v>
                </c:pt>
              </c:strCache>
            </c:strRef>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trendline>
            <c:spPr>
              <a:ln w="19050" cap="rnd">
                <a:solidFill>
                  <a:schemeClr val="accent4">
                    <a:lumMod val="60000"/>
                  </a:schemeClr>
                </a:solidFill>
                <a:prstDash val="sysDot"/>
              </a:ln>
              <a:effectLst/>
            </c:spPr>
            <c:trendlineType val="poly"/>
            <c:order val="3"/>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support'!$S$2:$S$101</c:f>
              <c:numCache>
                <c:formatCode>General</c:formatCode>
                <c:ptCount val="100"/>
                <c:pt idx="0">
                  <c:v>-2.2093081573365675E-3</c:v>
                </c:pt>
                <c:pt idx="1">
                  <c:v>-3.4734233602831122E-3</c:v>
                </c:pt>
                <c:pt idx="2">
                  <c:v>-4.7375385632294747E-3</c:v>
                </c:pt>
                <c:pt idx="3">
                  <c:v>-6.0016537661760194E-3</c:v>
                </c:pt>
                <c:pt idx="4">
                  <c:v>-7.2657689691223819E-3</c:v>
                </c:pt>
                <c:pt idx="5">
                  <c:v>-8.5298841720687444E-3</c:v>
                </c:pt>
                <c:pt idx="6">
                  <c:v>-9.7939993750152891E-3</c:v>
                </c:pt>
                <c:pt idx="7">
                  <c:v>-1.1058114577961652E-2</c:v>
                </c:pt>
                <c:pt idx="8">
                  <c:v>-1.2322229780908014E-2</c:v>
                </c:pt>
                <c:pt idx="9">
                  <c:v>-1.3586344983854559E-2</c:v>
                </c:pt>
                <c:pt idx="10">
                  <c:v>-1.4850460186800921E-2</c:v>
                </c:pt>
                <c:pt idx="11">
                  <c:v>-1.6114575389747466E-2</c:v>
                </c:pt>
                <c:pt idx="12">
                  <c:v>-1.7378690592693827E-2</c:v>
                </c:pt>
                <c:pt idx="13">
                  <c:v>-1.8642805795640191E-2</c:v>
                </c:pt>
                <c:pt idx="14">
                  <c:v>-1.9906920998586736E-2</c:v>
                </c:pt>
                <c:pt idx="15">
                  <c:v>-2.1171036201533096E-2</c:v>
                </c:pt>
                <c:pt idx="16">
                  <c:v>-2.2435151404479461E-2</c:v>
                </c:pt>
                <c:pt idx="17">
                  <c:v>-2.3699266607426005E-2</c:v>
                </c:pt>
                <c:pt idx="18">
                  <c:v>-2.4963381810372366E-2</c:v>
                </c:pt>
                <c:pt idx="19">
                  <c:v>-2.6227497013318911E-2</c:v>
                </c:pt>
                <c:pt idx="20">
                  <c:v>-2.7491612216265275E-2</c:v>
                </c:pt>
                <c:pt idx="21">
                  <c:v>-2.8755727419211636E-2</c:v>
                </c:pt>
                <c:pt idx="22">
                  <c:v>-3.0019842622158181E-2</c:v>
                </c:pt>
                <c:pt idx="23">
                  <c:v>-3.1283957825104541E-2</c:v>
                </c:pt>
                <c:pt idx="24">
                  <c:v>-3.2548073028050906E-2</c:v>
                </c:pt>
                <c:pt idx="25">
                  <c:v>-3.381218823099745E-2</c:v>
                </c:pt>
                <c:pt idx="26">
                  <c:v>-3.5076303433943815E-2</c:v>
                </c:pt>
                <c:pt idx="27">
                  <c:v>-3.6340418636890179E-2</c:v>
                </c:pt>
                <c:pt idx="28">
                  <c:v>-3.7353768362141243E-2</c:v>
                </c:pt>
                <c:pt idx="29">
                  <c:v>-3.7353768362141243E-2</c:v>
                </c:pt>
                <c:pt idx="30">
                  <c:v>-3.7353768362141243E-2</c:v>
                </c:pt>
                <c:pt idx="31">
                  <c:v>-3.7353768362141243E-2</c:v>
                </c:pt>
                <c:pt idx="32">
                  <c:v>-3.7353768362141243E-2</c:v>
                </c:pt>
                <c:pt idx="33">
                  <c:v>-3.7353768362141243E-2</c:v>
                </c:pt>
                <c:pt idx="34">
                  <c:v>-3.7353768362141243E-2</c:v>
                </c:pt>
                <c:pt idx="35">
                  <c:v>-3.7353768362141243E-2</c:v>
                </c:pt>
                <c:pt idx="36">
                  <c:v>-3.7353768362141243E-2</c:v>
                </c:pt>
                <c:pt idx="37">
                  <c:v>-3.7353768362141243E-2</c:v>
                </c:pt>
                <c:pt idx="38">
                  <c:v>-3.7353768362141243E-2</c:v>
                </c:pt>
                <c:pt idx="39">
                  <c:v>-3.7353768362141243E-2</c:v>
                </c:pt>
                <c:pt idx="40">
                  <c:v>-3.7353768362141243E-2</c:v>
                </c:pt>
                <c:pt idx="41">
                  <c:v>-3.7353768362141243E-2</c:v>
                </c:pt>
                <c:pt idx="42">
                  <c:v>-3.7353768362141243E-2</c:v>
                </c:pt>
                <c:pt idx="43">
                  <c:v>-3.7353768362141243E-2</c:v>
                </c:pt>
                <c:pt idx="44">
                  <c:v>-3.7353768362141243E-2</c:v>
                </c:pt>
                <c:pt idx="45">
                  <c:v>-3.7353768362141243E-2</c:v>
                </c:pt>
                <c:pt idx="46">
                  <c:v>-3.7353768362141243E-2</c:v>
                </c:pt>
                <c:pt idx="47">
                  <c:v>-3.7353768362141243E-2</c:v>
                </c:pt>
                <c:pt idx="48">
                  <c:v>-3.7353768362141243E-2</c:v>
                </c:pt>
                <c:pt idx="49">
                  <c:v>-3.7353768362141243E-2</c:v>
                </c:pt>
                <c:pt idx="50">
                  <c:v>-3.7353768362141243E-2</c:v>
                </c:pt>
                <c:pt idx="51">
                  <c:v>-3.7353768362141243E-2</c:v>
                </c:pt>
                <c:pt idx="52">
                  <c:v>-3.7353768362141243E-2</c:v>
                </c:pt>
                <c:pt idx="53">
                  <c:v>-3.7353768362141243E-2</c:v>
                </c:pt>
                <c:pt idx="54">
                  <c:v>-3.7353768362141243E-2</c:v>
                </c:pt>
                <c:pt idx="55">
                  <c:v>-3.7353768362141243E-2</c:v>
                </c:pt>
                <c:pt idx="56">
                  <c:v>-3.7353768362141243E-2</c:v>
                </c:pt>
                <c:pt idx="57">
                  <c:v>-3.7353768362141243E-2</c:v>
                </c:pt>
                <c:pt idx="58">
                  <c:v>-3.7353768362141243E-2</c:v>
                </c:pt>
                <c:pt idx="59">
                  <c:v>-3.7353768362141243E-2</c:v>
                </c:pt>
                <c:pt idx="60">
                  <c:v>-3.7353768362141243E-2</c:v>
                </c:pt>
                <c:pt idx="61">
                  <c:v>-3.7353768362141243E-2</c:v>
                </c:pt>
                <c:pt idx="62">
                  <c:v>-3.7353768362141243E-2</c:v>
                </c:pt>
                <c:pt idx="63">
                  <c:v>-3.7353768362141243E-2</c:v>
                </c:pt>
                <c:pt idx="64">
                  <c:v>-3.7353768362141243E-2</c:v>
                </c:pt>
                <c:pt idx="65">
                  <c:v>-3.7353768362141243E-2</c:v>
                </c:pt>
                <c:pt idx="66">
                  <c:v>-3.7353768362141243E-2</c:v>
                </c:pt>
                <c:pt idx="67">
                  <c:v>-3.7353768362141243E-2</c:v>
                </c:pt>
                <c:pt idx="68">
                  <c:v>-3.7353768362141243E-2</c:v>
                </c:pt>
                <c:pt idx="69">
                  <c:v>-3.7353768362141243E-2</c:v>
                </c:pt>
                <c:pt idx="70">
                  <c:v>-3.7353768362141243E-2</c:v>
                </c:pt>
                <c:pt idx="71">
                  <c:v>-3.7353768362141243E-2</c:v>
                </c:pt>
                <c:pt idx="72">
                  <c:v>-3.7353768362141243E-2</c:v>
                </c:pt>
                <c:pt idx="73">
                  <c:v>-3.7353768362141243E-2</c:v>
                </c:pt>
                <c:pt idx="74">
                  <c:v>-3.7353768362141243E-2</c:v>
                </c:pt>
                <c:pt idx="75">
                  <c:v>-3.7353768362141243E-2</c:v>
                </c:pt>
                <c:pt idx="76">
                  <c:v>-3.7353768362141243E-2</c:v>
                </c:pt>
                <c:pt idx="77">
                  <c:v>-3.7353768362141243E-2</c:v>
                </c:pt>
                <c:pt idx="78">
                  <c:v>-3.7353768362141243E-2</c:v>
                </c:pt>
                <c:pt idx="79">
                  <c:v>-3.7353768362141243E-2</c:v>
                </c:pt>
                <c:pt idx="80">
                  <c:v>-3.7353768362141243E-2</c:v>
                </c:pt>
                <c:pt idx="81">
                  <c:v>-3.7353768362141243E-2</c:v>
                </c:pt>
                <c:pt idx="82">
                  <c:v>-3.7353768362141243E-2</c:v>
                </c:pt>
                <c:pt idx="83">
                  <c:v>-3.7353768362141243E-2</c:v>
                </c:pt>
                <c:pt idx="84">
                  <c:v>-3.7353768362141243E-2</c:v>
                </c:pt>
                <c:pt idx="85">
                  <c:v>-3.7353768362141243E-2</c:v>
                </c:pt>
                <c:pt idx="86">
                  <c:v>-3.7353768362141243E-2</c:v>
                </c:pt>
                <c:pt idx="87">
                  <c:v>-3.7353768362141243E-2</c:v>
                </c:pt>
                <c:pt idx="88">
                  <c:v>-3.7353768362141243E-2</c:v>
                </c:pt>
                <c:pt idx="89">
                  <c:v>-3.7353768362141243E-2</c:v>
                </c:pt>
                <c:pt idx="90">
                  <c:v>-3.7353768362141243E-2</c:v>
                </c:pt>
                <c:pt idx="91">
                  <c:v>-3.7353768362141243E-2</c:v>
                </c:pt>
                <c:pt idx="92">
                  <c:v>-3.7353768362141243E-2</c:v>
                </c:pt>
                <c:pt idx="93">
                  <c:v>-3.7353768362141243E-2</c:v>
                </c:pt>
                <c:pt idx="94">
                  <c:v>-3.7353768362141243E-2</c:v>
                </c:pt>
                <c:pt idx="95">
                  <c:v>-3.7353768362141243E-2</c:v>
                </c:pt>
                <c:pt idx="96">
                  <c:v>-3.7353768362141243E-2</c:v>
                </c:pt>
                <c:pt idx="97">
                  <c:v>-3.7353768362141243E-2</c:v>
                </c:pt>
                <c:pt idx="98">
                  <c:v>-3.7353768362141243E-2</c:v>
                </c:pt>
                <c:pt idx="99">
                  <c:v>-3.7353768362141243E-2</c:v>
                </c:pt>
              </c:numCache>
            </c:numRef>
          </c:yVal>
          <c:smooth val="0"/>
          <c:extLst>
            <c:ext xmlns:c16="http://schemas.microsoft.com/office/drawing/2014/chart" uri="{C3380CC4-5D6E-409C-BE32-E72D297353CC}">
              <c16:uniqueId val="{00000014-79CC-487D-ADC3-2AE17A872906}"/>
            </c:ext>
          </c:extLst>
        </c:ser>
        <c:dLbls>
          <c:showLegendKey val="0"/>
          <c:showVal val="0"/>
          <c:showCatName val="0"/>
          <c:showSerName val="0"/>
          <c:showPercent val="0"/>
          <c:showBubbleSize val="0"/>
        </c:dLbls>
        <c:axId val="604243160"/>
        <c:axId val="604243552"/>
      </c:scatterChart>
      <c:valAx>
        <c:axId val="604243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243552"/>
        <c:crosses val="autoZero"/>
        <c:crossBetween val="midCat"/>
      </c:valAx>
      <c:valAx>
        <c:axId val="604243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243160"/>
        <c:crosses val="autoZero"/>
        <c:crossBetween val="midCat"/>
      </c:valAx>
      <c:spPr>
        <a:noFill/>
        <a:ln>
          <a:noFill/>
        </a:ln>
        <a:effectLst/>
      </c:spPr>
    </c:plotArea>
    <c:legend>
      <c:legendPos val="r"/>
      <c:legendEntry>
        <c:idx val="10"/>
        <c:delete val="1"/>
      </c:legendEntry>
      <c:legendEntry>
        <c:idx val="1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161921</xdr:rowOff>
    </xdr:from>
    <xdr:to>
      <xdr:col>18</xdr:col>
      <xdr:colOff>522515</xdr:colOff>
      <xdr:row>26</xdr:row>
      <xdr:rowOff>9920</xdr:rowOff>
    </xdr:to>
    <xdr:sp macro="" textlink="">
      <xdr:nvSpPr>
        <xdr:cNvPr id="2" name="TextBox 1">
          <a:extLst>
            <a:ext uri="{FF2B5EF4-FFF2-40B4-BE49-F238E27FC236}">
              <a16:creationId xmlns:a16="http://schemas.microsoft.com/office/drawing/2014/main" id="{6F8F962E-3AF3-4549-9641-3E7168BFDB1B}"/>
            </a:ext>
          </a:extLst>
        </xdr:cNvPr>
        <xdr:cNvSpPr txBox="1"/>
      </xdr:nvSpPr>
      <xdr:spPr>
        <a:xfrm>
          <a:off x="692944" y="161921"/>
          <a:ext cx="11616759" cy="4491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5397"/>
              </a:solidFill>
              <a:effectLst/>
              <a:latin typeface="+mn-lt"/>
              <a:ea typeface="+mn-ea"/>
              <a:cs typeface="+mn-cs"/>
            </a:rPr>
            <a:t>The Local Government Solar Power Purchase Agreement Calculator</a:t>
          </a:r>
        </a:p>
        <a:p>
          <a:r>
            <a:rPr lang="en-US" sz="1100">
              <a:solidFill>
                <a:schemeClr val="dk1"/>
              </a:solidFill>
              <a:effectLst/>
              <a:latin typeface="+mn-lt"/>
              <a:ea typeface="+mn-ea"/>
              <a:cs typeface="+mn-cs"/>
            </a:rPr>
            <a:t>A decision-making tool to help local governments compare Power Purchase Agreement (PPA) proposals</a:t>
          </a:r>
        </a:p>
        <a:p>
          <a:endParaRPr lang="en-US" sz="1000" b="1" cap="small">
            <a:solidFill>
              <a:schemeClr val="dk1"/>
            </a:solidFill>
            <a:effectLst/>
            <a:latin typeface="+mn-lt"/>
            <a:ea typeface="+mn-ea"/>
            <a:cs typeface="+mn-cs"/>
          </a:endParaRPr>
        </a:p>
        <a:p>
          <a:r>
            <a:rPr lang="en-US" sz="1600" b="0" cap="small">
              <a:solidFill>
                <a:srgbClr val="005397"/>
              </a:solidFill>
              <a:effectLst/>
              <a:latin typeface="+mn-lt"/>
              <a:ea typeface="+mn-ea"/>
              <a:cs typeface="+mn-cs"/>
            </a:rPr>
            <a:t>Quick-Start Guide</a:t>
          </a:r>
          <a:endParaRPr lang="en-US" sz="1600" b="0">
            <a:solidFill>
              <a:srgbClr val="005397"/>
            </a:solidFill>
            <a:effectLst/>
            <a:latin typeface="+mn-lt"/>
            <a:ea typeface="+mn-ea"/>
            <a:cs typeface="+mn-cs"/>
          </a:endParaRPr>
        </a:p>
        <a:p>
          <a:endParaRPr lang="en-US" sz="1000" i="1">
            <a:solidFill>
              <a:schemeClr val="dk1"/>
            </a:solidFill>
            <a:effectLst/>
            <a:latin typeface="+mn-lt"/>
            <a:ea typeface="+mn-ea"/>
            <a:cs typeface="+mn-cs"/>
          </a:endParaRPr>
        </a:p>
        <a:p>
          <a:r>
            <a:rPr lang="en-US" sz="1200" i="1">
              <a:solidFill>
                <a:srgbClr val="005397"/>
              </a:solidFill>
              <a:effectLst/>
              <a:latin typeface="+mn-lt"/>
              <a:ea typeface="+mn-ea"/>
              <a:cs typeface="+mn-cs"/>
            </a:rPr>
            <a:t>Background</a:t>
          </a:r>
          <a:endParaRPr lang="en-US" sz="1200">
            <a:solidFill>
              <a:srgbClr val="005397"/>
            </a:solidFill>
            <a:effectLst/>
            <a:latin typeface="+mn-lt"/>
            <a:ea typeface="+mn-ea"/>
            <a:cs typeface="+mn-cs"/>
          </a:endParaRPr>
        </a:p>
        <a:p>
          <a:r>
            <a:rPr lang="en-US" sz="1100">
              <a:solidFill>
                <a:schemeClr val="dk1"/>
              </a:solidFill>
              <a:effectLst/>
              <a:latin typeface="+mn-lt"/>
              <a:ea typeface="+mn-ea"/>
              <a:cs typeface="+mn-cs"/>
            </a:rPr>
            <a:t>Renewable energy is a growing priority for communities. A great number of qualified installers offer design, installation, and financing at ever-lower cost. Proposals from solar companies, however, arrive in varied forms and can be difficult to compare, especially for those new to solar energy technology.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response to this challenge, the Great Plains Institute collaborated with the Clean Energy Resource Teams (CERTs) and the Minnesota Department of Administration’s Office of Enterprise Sustainability to create a tool that makes it easier for local governments to make informed decisions.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tool is one of many resources developed by the award-winning Solar Possible program. Solar Possible guided a cohort of 12 local governments through a bulk-purchasing process for solar energy systems and provided assistance for site selection, RFP development, and bid evaluation.</a:t>
          </a:r>
        </a:p>
        <a:p>
          <a:r>
            <a:rPr lang="en-US" sz="1100">
              <a:solidFill>
                <a:schemeClr val="dk1"/>
              </a:solidFill>
              <a:effectLst/>
              <a:latin typeface="+mn-lt"/>
              <a:ea typeface="+mn-ea"/>
              <a:cs typeface="+mn-cs"/>
            </a:rPr>
            <a:t> </a:t>
          </a:r>
        </a:p>
        <a:p>
          <a:endParaRPr lang="en-US" sz="1100">
            <a:solidFill>
              <a:srgbClr val="005397"/>
            </a:solidFill>
            <a:effectLst/>
            <a:latin typeface="+mn-lt"/>
            <a:ea typeface="+mn-ea"/>
            <a:cs typeface="+mn-cs"/>
          </a:endParaRPr>
        </a:p>
        <a:p>
          <a:endParaRPr lang="en-US" sz="1100" i="1">
            <a:solidFill>
              <a:srgbClr val="005397"/>
            </a:solidFill>
            <a:effectLst/>
            <a:latin typeface="+mn-lt"/>
            <a:ea typeface="+mn-ea"/>
            <a:cs typeface="+mn-cs"/>
          </a:endParaRPr>
        </a:p>
        <a:p>
          <a:endParaRPr lang="en-US" sz="1100" i="1">
            <a:solidFill>
              <a:srgbClr val="005397"/>
            </a:solidFill>
            <a:effectLst/>
            <a:latin typeface="+mn-lt"/>
            <a:ea typeface="+mn-ea"/>
            <a:cs typeface="+mn-cs"/>
          </a:endParaRPr>
        </a:p>
        <a:p>
          <a:endParaRPr lang="en-US" sz="1200" i="1">
            <a:solidFill>
              <a:srgbClr val="005397"/>
            </a:solidFill>
            <a:effectLst/>
            <a:latin typeface="+mn-lt"/>
            <a:ea typeface="+mn-ea"/>
            <a:cs typeface="+mn-cs"/>
          </a:endParaRPr>
        </a:p>
        <a:p>
          <a:r>
            <a:rPr lang="en-US" sz="1200" i="1">
              <a:solidFill>
                <a:srgbClr val="005397"/>
              </a:solidFill>
              <a:effectLst/>
              <a:latin typeface="+mn-lt"/>
              <a:ea typeface="+mn-ea"/>
              <a:cs typeface="+mn-cs"/>
            </a:rPr>
            <a:t>What you need to know:</a:t>
          </a:r>
          <a:endParaRPr lang="en-US" sz="1200">
            <a:solidFill>
              <a:srgbClr val="005397"/>
            </a:solidFill>
            <a:effectLst/>
            <a:latin typeface="+mn-lt"/>
            <a:ea typeface="+mn-ea"/>
            <a:cs typeface="+mn-cs"/>
          </a:endParaRPr>
        </a:p>
        <a:p>
          <a:pPr lvl="0"/>
          <a:r>
            <a:rPr lang="en-US" sz="1100">
              <a:solidFill>
                <a:schemeClr val="dk1"/>
              </a:solidFill>
              <a:effectLst/>
              <a:latin typeface="+mn-lt"/>
              <a:ea typeface="+mn-ea"/>
              <a:cs typeface="+mn-cs"/>
            </a:rPr>
            <a:t>• This tool was originally offered to local government participants in the Solar Possible program. These participants had robust support and training from the project partners.</a:t>
          </a:r>
        </a:p>
        <a:p>
          <a:pPr lvl="0"/>
          <a:r>
            <a:rPr lang="en-US" sz="1100">
              <a:solidFill>
                <a:schemeClr val="dk1"/>
              </a:solidFill>
              <a:effectLst/>
              <a:latin typeface="+mn-lt"/>
              <a:ea typeface="+mn-ea"/>
              <a:cs typeface="+mn-cs"/>
            </a:rPr>
            <a:t>• The tool is designed for governments in the Minnesota Xcel Energy utility service territory. Local governments located outside of the Xcel Energy area will have different incentive programs and rate classifications but may consider using the tool as a reference for </a:t>
          </a:r>
          <a:r>
            <a:rPr lang="en-US" sz="1100" u="none">
              <a:solidFill>
                <a:schemeClr val="dk1"/>
              </a:solidFill>
              <a:effectLst/>
              <a:latin typeface="+mn-lt"/>
              <a:ea typeface="+mn-ea"/>
              <a:cs typeface="+mn-cs"/>
            </a:rPr>
            <a:t>modification</a:t>
          </a:r>
          <a:r>
            <a:rPr lang="en-US" sz="800">
              <a:solidFill>
                <a:schemeClr val="dk1"/>
              </a:solidFill>
              <a:effectLst/>
              <a:latin typeface="+mn-lt"/>
              <a:ea typeface="+mn-ea"/>
              <a:cs typeface="+mn-cs"/>
            </a:rPr>
            <a:t> </a:t>
          </a:r>
          <a:r>
            <a:rPr lang="en-US" sz="1100">
              <a:solidFill>
                <a:schemeClr val="dk1"/>
              </a:solidFill>
              <a:effectLst/>
              <a:latin typeface="+mn-lt"/>
              <a:ea typeface="+mn-ea"/>
              <a:cs typeface="+mn-cs"/>
            </a:rPr>
            <a:t>.</a:t>
          </a:r>
        </a:p>
        <a:p>
          <a:pPr lvl="0"/>
          <a:r>
            <a:rPr lang="en-US" sz="1100">
              <a:solidFill>
                <a:schemeClr val="dk1"/>
              </a:solidFill>
              <a:effectLst/>
              <a:latin typeface="+mn-lt"/>
              <a:ea typeface="+mn-ea"/>
              <a:cs typeface="+mn-cs"/>
            </a:rPr>
            <a:t>• The goal of this quick start guide is to provide the necessary context and instruction for local governments to use the tool appropriately.</a:t>
          </a:r>
        </a:p>
        <a:p>
          <a:endParaRPr lang="en-US" sz="1100">
            <a:solidFill>
              <a:schemeClr val="dk1"/>
            </a:solidFill>
            <a:effectLst/>
            <a:latin typeface="+mn-lt"/>
            <a:ea typeface="+mn-ea"/>
            <a:cs typeface="+mn-cs"/>
          </a:endParaRPr>
        </a:p>
      </xdr:txBody>
    </xdr:sp>
    <xdr:clientData/>
  </xdr:twoCellAnchor>
  <xdr:twoCellAnchor>
    <xdr:from>
      <xdr:col>19</xdr:col>
      <xdr:colOff>179615</xdr:colOff>
      <xdr:row>1</xdr:row>
      <xdr:rowOff>141517</xdr:rowOff>
    </xdr:from>
    <xdr:to>
      <xdr:col>26</xdr:col>
      <xdr:colOff>287733</xdr:colOff>
      <xdr:row>23</xdr:row>
      <xdr:rowOff>39688</xdr:rowOff>
    </xdr:to>
    <xdr:sp macro="" textlink="">
      <xdr:nvSpPr>
        <xdr:cNvPr id="3" name="TextBox 2">
          <a:extLst>
            <a:ext uri="{FF2B5EF4-FFF2-40B4-BE49-F238E27FC236}">
              <a16:creationId xmlns:a16="http://schemas.microsoft.com/office/drawing/2014/main" id="{04B0DD39-2FC5-43DA-9BCA-16F7F9BB7B22}"/>
            </a:ext>
          </a:extLst>
        </xdr:cNvPr>
        <xdr:cNvSpPr txBox="1"/>
      </xdr:nvSpPr>
      <xdr:spPr>
        <a:xfrm>
          <a:off x="12621646" y="320111"/>
          <a:ext cx="4692025" cy="3827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5397"/>
              </a:solidFill>
            </a:rPr>
            <a:t>Helpful Background</a:t>
          </a:r>
          <a:endParaRPr lang="en-US" sz="1200" b="1" baseline="0">
            <a:solidFill>
              <a:srgbClr val="005397"/>
            </a:solidFill>
          </a:endParaRPr>
        </a:p>
        <a:p>
          <a:endParaRPr lang="en-US" sz="1100" baseline="0"/>
        </a:p>
        <a:p>
          <a:r>
            <a:rPr lang="en-US" sz="1200" i="1" baseline="0">
              <a:solidFill>
                <a:srgbClr val="005397"/>
              </a:solidFill>
            </a:rPr>
            <a:t>About the team</a:t>
          </a:r>
        </a:p>
        <a:p>
          <a:r>
            <a:rPr lang="en-US" sz="1100" b="1" baseline="0"/>
            <a:t>Clearn Energy Resource Teams: </a:t>
          </a:r>
          <a:r>
            <a:rPr lang="en-US" sz="1100" b="0" baseline="0"/>
            <a:t>a statewide partnership to connect individuals and communities in Minnesota to the resources they need to identify and implement community-based clean energy projects</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Great Plains Institute:  </a:t>
          </a:r>
          <a:r>
            <a:rPr lang="en-US" sz="1100" b="0" baseline="0">
              <a:solidFill>
                <a:schemeClr val="dk1"/>
              </a:solidFill>
              <a:effectLst/>
              <a:latin typeface="+mn-lt"/>
              <a:ea typeface="+mn-ea"/>
              <a:cs typeface="+mn-cs"/>
            </a:rPr>
            <a:t>a non-partisan, non-profit organization working towards transforming the energy system to benefit the economy and environment</a:t>
          </a:r>
          <a:endParaRPr lang="en-US" sz="1100" b="0" baseline="0"/>
        </a:p>
        <a:p>
          <a:r>
            <a:rPr lang="en-US" sz="1100" b="1" baseline="0"/>
            <a:t>Minnesota Department of Administration's Office of Enterprise Sustainability: </a:t>
          </a:r>
          <a:r>
            <a:rPr lang="en-US" sz="1100" b="0" baseline="0"/>
            <a:t>an office of the State of Minnesota's Department of Administration, OES assists state agencies to meet State sustainability goals</a:t>
          </a:r>
          <a:endParaRPr lang="en-US" sz="1100" b="1" baseline="0"/>
        </a:p>
        <a:p>
          <a:endParaRPr lang="en-US" sz="1100" b="1" baseline="0"/>
        </a:p>
        <a:p>
          <a:r>
            <a:rPr lang="en-US" sz="1200" b="0" i="1" baseline="0">
              <a:solidFill>
                <a:srgbClr val="005397"/>
              </a:solidFill>
            </a:rPr>
            <a:t>Where does the information in this tool come from?</a:t>
          </a:r>
        </a:p>
        <a:p>
          <a:r>
            <a:rPr lang="en-US" sz="1100" b="0" i="1" baseline="0">
              <a:solidFill>
                <a:sysClr val="windowText" lastClr="000000"/>
              </a:solidFill>
            </a:rPr>
            <a:t>• Utility escalation - </a:t>
          </a:r>
          <a:r>
            <a:rPr lang="en-US" sz="1100" b="0" i="0" baseline="0">
              <a:solidFill>
                <a:sysClr val="windowText" lastClr="000000"/>
              </a:solidFill>
            </a:rPr>
            <a:t>value is from a study by a University of Minnesota Applied Economist</a:t>
          </a:r>
          <a:endParaRPr lang="en-US" sz="1100" b="0" i="1" baseline="0">
            <a:solidFill>
              <a:sysClr val="windowText" lastClr="000000"/>
            </a:solidFill>
          </a:endParaRPr>
        </a:p>
        <a:p>
          <a:r>
            <a:rPr lang="en-US" sz="1100" b="0" i="1" baseline="0">
              <a:solidFill>
                <a:sysClr val="windowText" lastClr="000000"/>
              </a:solidFill>
            </a:rPr>
            <a:t>• Credits</a:t>
          </a:r>
          <a:r>
            <a:rPr lang="en-US" sz="1100" b="0" i="0" baseline="0">
              <a:solidFill>
                <a:sysClr val="windowText" lastClr="000000"/>
              </a:solidFill>
            </a:rPr>
            <a:t> (solar capacity credit, Solar*Rewards) - information on values are provided by Xcel Energy as of November, 2018</a:t>
          </a:r>
          <a:endParaRPr lang="en-US" sz="1100" b="0" i="1" baseline="0">
            <a:solidFill>
              <a:sysClr val="windowText" lastClr="000000"/>
            </a:solidFill>
          </a:endParaRPr>
        </a:p>
        <a:p>
          <a:r>
            <a:rPr lang="en-US" sz="1100" b="0" i="1" baseline="0">
              <a:solidFill>
                <a:sysClr val="windowText" lastClr="000000"/>
              </a:solidFill>
            </a:rPr>
            <a:t>• System Degradation Factor</a:t>
          </a:r>
          <a:r>
            <a:rPr lang="en-US" sz="1100" b="0" i="0" baseline="0">
              <a:solidFill>
                <a:sysClr val="windowText" lastClr="000000"/>
              </a:solidFill>
            </a:rPr>
            <a:t> - industry standard rate</a:t>
          </a:r>
        </a:p>
        <a:p>
          <a:r>
            <a:rPr lang="en-US" sz="1100" b="0" i="0" baseline="0">
              <a:solidFill>
                <a:sysClr val="windowText" lastClr="000000"/>
              </a:solidFill>
            </a:rPr>
            <a:t>• </a:t>
          </a:r>
          <a:r>
            <a:rPr lang="en-US" sz="1100" b="0" i="1" baseline="0">
              <a:solidFill>
                <a:sysClr val="windowText" lastClr="000000"/>
              </a:solidFill>
            </a:rPr>
            <a:t>Demand Charge Reduction estimation</a:t>
          </a:r>
          <a:r>
            <a:rPr lang="en-US" sz="1100" b="0" i="0" baseline="0">
              <a:solidFill>
                <a:sysClr val="windowText" lastClr="000000"/>
              </a:solidFill>
            </a:rPr>
            <a:t> - methodology from National Renewable Energy Laboratory</a:t>
          </a:r>
          <a:endParaRPr lang="en-US" sz="1100" b="0" i="1"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endParaRPr lang="en-US">
            <a:effectLst/>
          </a:endParaRPr>
        </a:p>
        <a:p>
          <a:endParaRPr lang="en-US" sz="1100"/>
        </a:p>
      </xdr:txBody>
    </xdr:sp>
    <xdr:clientData/>
  </xdr:twoCellAnchor>
  <xdr:twoCellAnchor>
    <xdr:from>
      <xdr:col>19</xdr:col>
      <xdr:colOff>180920</xdr:colOff>
      <xdr:row>24</xdr:row>
      <xdr:rowOff>17009</xdr:rowOff>
    </xdr:from>
    <xdr:to>
      <xdr:col>26</xdr:col>
      <xdr:colOff>138906</xdr:colOff>
      <xdr:row>39</xdr:row>
      <xdr:rowOff>29256</xdr:rowOff>
    </xdr:to>
    <xdr:sp macro="" textlink="">
      <xdr:nvSpPr>
        <xdr:cNvPr id="4" name="TextBox 3">
          <a:extLst>
            <a:ext uri="{FF2B5EF4-FFF2-40B4-BE49-F238E27FC236}">
              <a16:creationId xmlns:a16="http://schemas.microsoft.com/office/drawing/2014/main" id="{CBA5D78B-3815-4FB6-A630-405555782DFC}"/>
            </a:ext>
          </a:extLst>
        </xdr:cNvPr>
        <xdr:cNvSpPr txBox="1"/>
      </xdr:nvSpPr>
      <xdr:spPr>
        <a:xfrm>
          <a:off x="12622951" y="4303259"/>
          <a:ext cx="4541893" cy="2691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5397"/>
              </a:solidFill>
              <a:effectLst/>
              <a:latin typeface="+mn-lt"/>
              <a:ea typeface="+mn-ea"/>
              <a:cs typeface="+mn-cs"/>
            </a:rPr>
            <a:t>Helpful Terms</a:t>
          </a:r>
        </a:p>
        <a:p>
          <a:endParaRPr lang="en-US" b="1">
            <a:solidFill>
              <a:srgbClr val="005397"/>
            </a:solidFill>
            <a:effectLst/>
          </a:endParaRPr>
        </a:p>
        <a:p>
          <a:r>
            <a:rPr lang="en-US" sz="1100" b="1">
              <a:solidFill>
                <a:schemeClr val="dk1"/>
              </a:solidFill>
              <a:effectLst/>
              <a:latin typeface="+mn-lt"/>
              <a:ea typeface="+mn-ea"/>
              <a:cs typeface="+mn-cs"/>
            </a:rPr>
            <a:t>Power Purchase Agreement (PPA): </a:t>
          </a:r>
          <a:r>
            <a:rPr lang="en-US" sz="1100">
              <a:solidFill>
                <a:schemeClr val="dk1"/>
              </a:solidFill>
              <a:effectLst/>
              <a:latin typeface="+mn-lt"/>
              <a:ea typeface="+mn-ea"/>
              <a:cs typeface="+mn-cs"/>
            </a:rPr>
            <a:t>an agreement between a solar provider and a power purchaser for the provider to install a system on the purchaser’s property and the purchaser to buy the power over time. Allows governments to avoid the upfront capital costs of installing a system and take advantage of federal tax credits.</a:t>
          </a:r>
          <a:endParaRPr lang="en-US">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Kilowatt (kW): </a:t>
          </a:r>
          <a:r>
            <a:rPr lang="en-US" sz="1100">
              <a:solidFill>
                <a:schemeClr val="dk1"/>
              </a:solidFill>
              <a:effectLst/>
              <a:latin typeface="+mn-lt"/>
              <a:ea typeface="+mn-ea"/>
              <a:cs typeface="+mn-cs"/>
            </a:rPr>
            <a:t>the unit that describes the amount of energy a system can produce at a given moment in time, used to show system size.</a:t>
          </a:r>
          <a:endParaRPr lang="en-US">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Kilowatt Hour (kWh): </a:t>
          </a:r>
          <a:r>
            <a:rPr lang="en-US" sz="1100">
              <a:solidFill>
                <a:schemeClr val="dk1"/>
              </a:solidFill>
              <a:effectLst/>
              <a:latin typeface="+mn-lt"/>
              <a:ea typeface="+mn-ea"/>
              <a:cs typeface="+mn-cs"/>
            </a:rPr>
            <a:t>the unit that describes the amount of energy a system generates over a given time period, used to show monthly or annual energy production.</a:t>
          </a:r>
          <a:endParaRPr lang="en-US">
            <a:effectLst/>
          </a:endParaRPr>
        </a:p>
        <a:p>
          <a:r>
            <a:rPr lang="en-US" sz="1100">
              <a:solidFill>
                <a:schemeClr val="dk1"/>
              </a:solidFill>
              <a:effectLst/>
              <a:latin typeface="+mn-lt"/>
              <a:ea typeface="+mn-ea"/>
              <a:cs typeface="+mn-cs"/>
            </a:rPr>
            <a:t> </a:t>
          </a:r>
          <a:endParaRPr lang="en-US">
            <a:effectLst/>
          </a:endParaRPr>
        </a:p>
        <a:p>
          <a:endParaRPr lang="en-US" sz="1100"/>
        </a:p>
      </xdr:txBody>
    </xdr:sp>
    <xdr:clientData/>
  </xdr:twoCellAnchor>
  <xdr:twoCellAnchor>
    <xdr:from>
      <xdr:col>1</xdr:col>
      <xdr:colOff>86121</xdr:colOff>
      <xdr:row>25</xdr:row>
      <xdr:rowOff>91565</xdr:rowOff>
    </xdr:from>
    <xdr:to>
      <xdr:col>8</xdr:col>
      <xdr:colOff>86121</xdr:colOff>
      <xdr:row>31</xdr:row>
      <xdr:rowOff>137831</xdr:rowOff>
    </xdr:to>
    <xdr:sp macro="" textlink="">
      <xdr:nvSpPr>
        <xdr:cNvPr id="5" name="TextBox 4">
          <a:extLst>
            <a:ext uri="{FF2B5EF4-FFF2-40B4-BE49-F238E27FC236}">
              <a16:creationId xmlns:a16="http://schemas.microsoft.com/office/drawing/2014/main" id="{15D94FFF-AFD9-4819-A456-CE38B9C8D84E}"/>
            </a:ext>
          </a:extLst>
        </xdr:cNvPr>
        <xdr:cNvSpPr txBox="1"/>
      </xdr:nvSpPr>
      <xdr:spPr>
        <a:xfrm>
          <a:off x="740965" y="4556409"/>
          <a:ext cx="4583906" cy="1117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solidFill>
                <a:srgbClr val="005397"/>
              </a:solidFill>
              <a:effectLst/>
              <a:latin typeface="+mn-lt"/>
              <a:ea typeface="+mn-ea"/>
              <a:cs typeface="+mn-cs"/>
            </a:rPr>
            <a:t>What the PPA Calculator is:</a:t>
          </a:r>
          <a:endParaRPr lang="en-US" sz="1200">
            <a:solidFill>
              <a:srgbClr val="005397"/>
            </a:solidFill>
            <a:effectLst/>
          </a:endParaRPr>
        </a:p>
        <a:p>
          <a:r>
            <a:rPr lang="en-US" sz="1100">
              <a:solidFill>
                <a:schemeClr val="dk1"/>
              </a:solidFill>
              <a:effectLst/>
              <a:latin typeface="+mn-lt"/>
              <a:ea typeface="+mn-ea"/>
              <a:cs typeface="+mn-cs"/>
            </a:rPr>
            <a:t>• a helpful tool for decision-making</a:t>
          </a:r>
          <a:endParaRPr lang="en-US">
            <a:effectLst/>
          </a:endParaRPr>
        </a:p>
        <a:p>
          <a:r>
            <a:rPr lang="en-US" sz="1100">
              <a:solidFill>
                <a:schemeClr val="dk1"/>
              </a:solidFill>
              <a:effectLst/>
              <a:latin typeface="+mn-lt"/>
              <a:ea typeface="+mn-ea"/>
              <a:cs typeface="+mn-cs"/>
            </a:rPr>
            <a:t>• used to compare </a:t>
          </a:r>
          <a:r>
            <a:rPr lang="en-US" sz="1100" b="1">
              <a:solidFill>
                <a:schemeClr val="dk1"/>
              </a:solidFill>
              <a:effectLst/>
              <a:latin typeface="+mn-lt"/>
              <a:ea typeface="+mn-ea"/>
              <a:cs typeface="+mn-cs"/>
            </a:rPr>
            <a:t>existing</a:t>
          </a:r>
          <a:r>
            <a:rPr lang="en-US" sz="1100">
              <a:solidFill>
                <a:schemeClr val="dk1"/>
              </a:solidFill>
              <a:effectLst/>
              <a:latin typeface="+mn-lt"/>
              <a:ea typeface="+mn-ea"/>
              <a:cs typeface="+mn-cs"/>
            </a:rPr>
            <a:t> proposals</a:t>
          </a:r>
          <a:endParaRPr lang="en-US">
            <a:effectLst/>
          </a:endParaRPr>
        </a:p>
        <a:p>
          <a:r>
            <a:rPr lang="en-US" sz="1100">
              <a:solidFill>
                <a:schemeClr val="dk1"/>
              </a:solidFill>
              <a:effectLst/>
              <a:latin typeface="+mn-lt"/>
              <a:ea typeface="+mn-ea"/>
              <a:cs typeface="+mn-cs"/>
            </a:rPr>
            <a:t>• designed to clarify the financial impact of proposed PPAs over time</a:t>
          </a:r>
          <a:endParaRPr lang="en-US">
            <a:effectLst/>
          </a:endParaRPr>
        </a:p>
        <a:p>
          <a:r>
            <a:rPr lang="en-US" sz="1100">
              <a:solidFill>
                <a:schemeClr val="dk1"/>
              </a:solidFill>
              <a:effectLst/>
              <a:latin typeface="+mn-lt"/>
              <a:ea typeface="+mn-ea"/>
              <a:cs typeface="+mn-cs"/>
            </a:rPr>
            <a:t>• for solar energy</a:t>
          </a:r>
          <a:endParaRPr lang="en-US">
            <a:effectLst/>
          </a:endParaRPr>
        </a:p>
      </xdr:txBody>
    </xdr:sp>
    <xdr:clientData/>
  </xdr:twoCellAnchor>
  <xdr:twoCellAnchor>
    <xdr:from>
      <xdr:col>8</xdr:col>
      <xdr:colOff>88842</xdr:colOff>
      <xdr:row>25</xdr:row>
      <xdr:rowOff>99729</xdr:rowOff>
    </xdr:from>
    <xdr:to>
      <xdr:col>17</xdr:col>
      <xdr:colOff>88842</xdr:colOff>
      <xdr:row>32</xdr:row>
      <xdr:rowOff>45301</xdr:rowOff>
    </xdr:to>
    <xdr:sp macro="" textlink="">
      <xdr:nvSpPr>
        <xdr:cNvPr id="6" name="TextBox 5">
          <a:extLst>
            <a:ext uri="{FF2B5EF4-FFF2-40B4-BE49-F238E27FC236}">
              <a16:creationId xmlns:a16="http://schemas.microsoft.com/office/drawing/2014/main" id="{671600FD-6177-46C3-8DB3-BB0744338F8A}"/>
            </a:ext>
          </a:extLst>
        </xdr:cNvPr>
        <xdr:cNvSpPr txBox="1"/>
      </xdr:nvSpPr>
      <xdr:spPr>
        <a:xfrm>
          <a:off x="5327592" y="4564573"/>
          <a:ext cx="5893594" cy="1195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solidFill>
                <a:srgbClr val="005397"/>
              </a:solidFill>
              <a:effectLst/>
              <a:latin typeface="+mn-lt"/>
              <a:ea typeface="+mn-ea"/>
              <a:cs typeface="+mn-cs"/>
            </a:rPr>
            <a:t>What the PPA Calculator is not:</a:t>
          </a:r>
          <a:endParaRPr lang="en-US" sz="1200">
            <a:solidFill>
              <a:srgbClr val="005397"/>
            </a:solidFill>
            <a:effectLst/>
          </a:endParaRPr>
        </a:p>
        <a:p>
          <a:r>
            <a:rPr lang="en-US" sz="1100">
              <a:solidFill>
                <a:schemeClr val="dk1"/>
              </a:solidFill>
              <a:effectLst/>
              <a:latin typeface="+mn-lt"/>
              <a:ea typeface="+mn-ea"/>
              <a:cs typeface="+mn-cs"/>
            </a:rPr>
            <a:t>• a definitive estimate of savings</a:t>
          </a:r>
          <a:endParaRPr lang="en-US">
            <a:effectLst/>
          </a:endParaRPr>
        </a:p>
        <a:p>
          <a:r>
            <a:rPr lang="en-US" sz="1100">
              <a:solidFill>
                <a:schemeClr val="dk1"/>
              </a:solidFill>
              <a:effectLst/>
              <a:latin typeface="+mn-lt"/>
              <a:ea typeface="+mn-ea"/>
              <a:cs typeface="+mn-cs"/>
            </a:rPr>
            <a:t>• a guarantee of savings</a:t>
          </a:r>
          <a:endParaRPr lang="en-US">
            <a:effectLst/>
          </a:endParaRPr>
        </a:p>
        <a:p>
          <a:r>
            <a:rPr lang="en-US" sz="1100">
              <a:solidFill>
                <a:schemeClr val="dk1"/>
              </a:solidFill>
              <a:effectLst/>
              <a:latin typeface="+mn-lt"/>
              <a:ea typeface="+mn-ea"/>
              <a:cs typeface="+mn-cs"/>
            </a:rPr>
            <a:t>• a guarantee of state incentives</a:t>
          </a:r>
          <a:endParaRPr lang="en-US">
            <a:effectLst/>
          </a:endParaRPr>
        </a:p>
        <a:p>
          <a:r>
            <a:rPr lang="en-US" sz="1100">
              <a:solidFill>
                <a:schemeClr val="dk1"/>
              </a:solidFill>
              <a:effectLst/>
              <a:latin typeface="+mn-lt"/>
              <a:ea typeface="+mn-ea"/>
              <a:cs typeface="+mn-cs"/>
            </a:rPr>
            <a:t>• for hypothetical proposals</a:t>
          </a:r>
          <a:endParaRPr lang="en-US">
            <a:effectLst/>
          </a:endParaRPr>
        </a:p>
        <a:p>
          <a:r>
            <a:rPr lang="en-US" sz="1100">
              <a:solidFill>
                <a:schemeClr val="dk1"/>
              </a:solidFill>
              <a:effectLst/>
              <a:latin typeface="+mn-lt"/>
              <a:ea typeface="+mn-ea"/>
              <a:cs typeface="+mn-cs"/>
            </a:rPr>
            <a:t>• for non-solar proposals</a:t>
          </a:r>
          <a:endParaRPr lang="en-US">
            <a:effectLst/>
          </a:endParaRPr>
        </a:p>
        <a:p>
          <a:endParaRPr lang="en-US" sz="1100"/>
        </a:p>
      </xdr:txBody>
    </xdr:sp>
    <xdr:clientData/>
  </xdr:twoCellAnchor>
  <xdr:twoCellAnchor>
    <xdr:from>
      <xdr:col>1</xdr:col>
      <xdr:colOff>69000</xdr:colOff>
      <xdr:row>31</xdr:row>
      <xdr:rowOff>125018</xdr:rowOff>
    </xdr:from>
    <xdr:to>
      <xdr:col>17</xdr:col>
      <xdr:colOff>85327</xdr:colOff>
      <xdr:row>42</xdr:row>
      <xdr:rowOff>51227</xdr:rowOff>
    </xdr:to>
    <xdr:sp macro="" textlink="">
      <xdr:nvSpPr>
        <xdr:cNvPr id="7" name="TextBox 6">
          <a:extLst>
            <a:ext uri="{FF2B5EF4-FFF2-40B4-BE49-F238E27FC236}">
              <a16:creationId xmlns:a16="http://schemas.microsoft.com/office/drawing/2014/main" id="{02EED8F5-7BAD-4AD8-8E41-F5601721F3BF}"/>
            </a:ext>
          </a:extLst>
        </xdr:cNvPr>
        <xdr:cNvSpPr txBox="1"/>
      </xdr:nvSpPr>
      <xdr:spPr>
        <a:xfrm>
          <a:off x="722142" y="5881640"/>
          <a:ext cx="10466613" cy="1968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solidFill>
                <a:srgbClr val="005397"/>
              </a:solidFill>
              <a:effectLst/>
              <a:latin typeface="+mn-lt"/>
              <a:ea typeface="+mn-ea"/>
              <a:cs typeface="+mn-cs"/>
            </a:rPr>
            <a:t>Helpful Tips:</a:t>
          </a:r>
          <a:endParaRPr lang="en-US" sz="1200">
            <a:solidFill>
              <a:srgbClr val="005397"/>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To begin using the PPA calculator,</a:t>
          </a:r>
          <a:r>
            <a:rPr lang="en-US" sz="1100" baseline="0">
              <a:solidFill>
                <a:schemeClr val="dk1"/>
              </a:solidFill>
              <a:effectLst/>
              <a:latin typeface="+mn-lt"/>
              <a:ea typeface="+mn-ea"/>
              <a:cs typeface="+mn-cs"/>
            </a:rPr>
            <a:t> s</a:t>
          </a:r>
          <a:r>
            <a:rPr lang="en-US" sz="1100">
              <a:solidFill>
                <a:schemeClr val="dk1"/>
              </a:solidFill>
              <a:effectLst/>
              <a:latin typeface="+mn-lt"/>
              <a:ea typeface="+mn-ea"/>
              <a:cs typeface="+mn-cs"/>
            </a:rPr>
            <a:t>tart on the Summary page. There are Instructions for use at the top. You must first follow the instructions to fill in the necessary information as described for Boxes 1 and 2. </a:t>
          </a:r>
        </a:p>
        <a:p>
          <a:r>
            <a:rPr lang="en-US" sz="1100">
              <a:solidFill>
                <a:schemeClr val="dk1"/>
              </a:solidFill>
              <a:effectLst/>
              <a:latin typeface="+mn-lt"/>
              <a:ea typeface="+mn-ea"/>
              <a:cs typeface="+mn-cs"/>
            </a:rPr>
            <a:t>• Watch the video tutorial! It is clear, short, and exactly what you need to know.</a:t>
          </a:r>
          <a:endParaRPr lang="en-US">
            <a:effectLst/>
          </a:endParaRPr>
        </a:p>
        <a:p>
          <a:r>
            <a:rPr lang="en-US" sz="1100">
              <a:solidFill>
                <a:schemeClr val="dk1"/>
              </a:solidFill>
              <a:effectLst/>
              <a:latin typeface="+mn-lt"/>
              <a:ea typeface="+mn-ea"/>
              <a:cs typeface="+mn-cs"/>
            </a:rPr>
            <a:t>• Have on hand:</a:t>
          </a:r>
          <a:endParaRPr lang="en-US">
            <a:effectLst/>
          </a:endParaRPr>
        </a:p>
        <a:p>
          <a:r>
            <a:rPr lang="en-US" sz="1100">
              <a:solidFill>
                <a:schemeClr val="dk1"/>
              </a:solidFill>
              <a:effectLst/>
              <a:latin typeface="+mn-lt"/>
              <a:ea typeface="+mn-ea"/>
              <a:cs typeface="+mn-cs"/>
            </a:rPr>
            <a:t>          • a copy of your electricity bill</a:t>
          </a:r>
          <a:endParaRPr lang="en-US">
            <a:effectLst/>
          </a:endParaRPr>
        </a:p>
        <a:p>
          <a:r>
            <a:rPr lang="en-US" sz="1100">
              <a:solidFill>
                <a:schemeClr val="dk1"/>
              </a:solidFill>
              <a:effectLst/>
              <a:latin typeface="+mn-lt"/>
              <a:ea typeface="+mn-ea"/>
              <a:cs typeface="+mn-cs"/>
            </a:rPr>
            <a:t>          • your PPA proposals (they should include system size, expected year one production, PPA starting rate, PPA escalation rate, and PPA term in years)</a:t>
          </a:r>
          <a:endParaRPr lang="en-US">
            <a:effectLst/>
          </a:endParaRPr>
        </a:p>
        <a:p>
          <a:r>
            <a:rPr lang="en-US" sz="1100">
              <a:solidFill>
                <a:schemeClr val="dk1"/>
              </a:solidFill>
              <a:effectLst/>
              <a:latin typeface="+mn-lt"/>
              <a:ea typeface="+mn-ea"/>
              <a:cs typeface="+mn-cs"/>
            </a:rPr>
            <a:t>• Contact Jenna Greene with questions about the tool: </a:t>
          </a:r>
          <a:r>
            <a:rPr lang="en-US" sz="1100" u="sng">
              <a:solidFill>
                <a:schemeClr val="accent5"/>
              </a:solidFill>
              <a:effectLst/>
              <a:latin typeface="+mn-lt"/>
              <a:ea typeface="+mn-ea"/>
              <a:cs typeface="+mn-cs"/>
            </a:rPr>
            <a:t>jgreene@gpisd.net</a:t>
          </a:r>
          <a:endParaRPr lang="en-US">
            <a:solidFill>
              <a:schemeClr val="accent5"/>
            </a:solidFill>
            <a:effectLst/>
          </a:endParaRPr>
        </a:p>
        <a:p>
          <a:r>
            <a:rPr lang="en-US" sz="1100">
              <a:solidFill>
                <a:schemeClr val="dk1"/>
              </a:solidFill>
              <a:effectLst/>
              <a:latin typeface="+mn-lt"/>
              <a:ea typeface="+mn-ea"/>
              <a:cs typeface="+mn-cs"/>
            </a:rPr>
            <a:t>• Contact the Minnesota Department of Administration’s Office of State Procurement to learn about current solar energy bulk-purchasing options.</a:t>
          </a:r>
          <a:endParaRPr lang="en-US">
            <a:effectLst/>
          </a:endParaRPr>
        </a:p>
        <a:p>
          <a:endParaRPr lang="en-US" sz="1100"/>
        </a:p>
      </xdr:txBody>
    </xdr:sp>
    <xdr:clientData/>
  </xdr:twoCellAnchor>
  <xdr:twoCellAnchor editAs="oneCell">
    <xdr:from>
      <xdr:col>1</xdr:col>
      <xdr:colOff>429623</xdr:colOff>
      <xdr:row>16</xdr:row>
      <xdr:rowOff>59702</xdr:rowOff>
    </xdr:from>
    <xdr:to>
      <xdr:col>5</xdr:col>
      <xdr:colOff>646339</xdr:colOff>
      <xdr:row>18</xdr:row>
      <xdr:rowOff>154883</xdr:rowOff>
    </xdr:to>
    <xdr:pic>
      <xdr:nvPicPr>
        <xdr:cNvPr id="8" name="Picture 7">
          <a:extLst>
            <a:ext uri="{FF2B5EF4-FFF2-40B4-BE49-F238E27FC236}">
              <a16:creationId xmlns:a16="http://schemas.microsoft.com/office/drawing/2014/main" id="{A5F5ACA5-D750-4DB8-BDBE-F6C23024DD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4467" y="2917202"/>
          <a:ext cx="2836091" cy="452369"/>
        </a:xfrm>
        <a:prstGeom prst="rect">
          <a:avLst/>
        </a:prstGeom>
      </xdr:spPr>
    </xdr:pic>
    <xdr:clientData/>
  </xdr:twoCellAnchor>
  <xdr:twoCellAnchor editAs="oneCell">
    <xdr:from>
      <xdr:col>7</xdr:col>
      <xdr:colOff>11040</xdr:colOff>
      <xdr:row>16</xdr:row>
      <xdr:rowOff>32485</xdr:rowOff>
    </xdr:from>
    <xdr:to>
      <xdr:col>9</xdr:col>
      <xdr:colOff>502828</xdr:colOff>
      <xdr:row>19</xdr:row>
      <xdr:rowOff>2448</xdr:rowOff>
    </xdr:to>
    <xdr:pic>
      <xdr:nvPicPr>
        <xdr:cNvPr id="9" name="Picture 8">
          <a:extLst>
            <a:ext uri="{FF2B5EF4-FFF2-40B4-BE49-F238E27FC236}">
              <a16:creationId xmlns:a16="http://schemas.microsoft.com/office/drawing/2014/main" id="{64371EC9-8F76-48EF-95DF-8797C5CF948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94946" y="2889985"/>
          <a:ext cx="1801476" cy="505744"/>
        </a:xfrm>
        <a:prstGeom prst="rect">
          <a:avLst/>
        </a:prstGeom>
      </xdr:spPr>
    </xdr:pic>
    <xdr:clientData/>
  </xdr:twoCellAnchor>
  <xdr:twoCellAnchor editAs="oneCell">
    <xdr:from>
      <xdr:col>11</xdr:col>
      <xdr:colOff>183218</xdr:colOff>
      <xdr:row>16</xdr:row>
      <xdr:rowOff>108685</xdr:rowOff>
    </xdr:from>
    <xdr:to>
      <xdr:col>14</xdr:col>
      <xdr:colOff>649152</xdr:colOff>
      <xdr:row>19</xdr:row>
      <xdr:rowOff>19901</xdr:rowOff>
    </xdr:to>
    <xdr:pic>
      <xdr:nvPicPr>
        <xdr:cNvPr id="10" name="Picture 9">
          <a:extLst>
            <a:ext uri="{FF2B5EF4-FFF2-40B4-BE49-F238E27FC236}">
              <a16:creationId xmlns:a16="http://schemas.microsoft.com/office/drawing/2014/main" id="{30CEFC29-CB11-4606-B2D5-EA446BF81B3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86499" y="2966185"/>
          <a:ext cx="2430466" cy="446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61</xdr:row>
      <xdr:rowOff>47625</xdr:rowOff>
    </xdr:from>
    <xdr:to>
      <xdr:col>10</xdr:col>
      <xdr:colOff>1135380</xdr:colOff>
      <xdr:row>79</xdr:row>
      <xdr:rowOff>2867025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214312</xdr:colOff>
      <xdr:row>70</xdr:row>
      <xdr:rowOff>150814</xdr:rowOff>
    </xdr:from>
    <xdr:to>
      <xdr:col>2</xdr:col>
      <xdr:colOff>539750</xdr:colOff>
      <xdr:row>78</xdr:row>
      <xdr:rowOff>134938</xdr:rowOff>
    </xdr:to>
    <xdr:sp macro="" textlink="">
      <xdr:nvSpPr>
        <xdr:cNvPr id="2" name="TextBox 1">
          <a:extLst>
            <a:ext uri="{FF2B5EF4-FFF2-40B4-BE49-F238E27FC236}">
              <a16:creationId xmlns:a16="http://schemas.microsoft.com/office/drawing/2014/main" id="{09B9EB3C-340D-45DE-8693-E70EC4729F39}"/>
            </a:ext>
          </a:extLst>
        </xdr:cNvPr>
        <xdr:cNvSpPr txBox="1"/>
      </xdr:nvSpPr>
      <xdr:spPr>
        <a:xfrm>
          <a:off x="762000" y="23439439"/>
          <a:ext cx="325438" cy="1444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US" sz="1200" b="1"/>
            <a:t>Savings (USD)</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0.07316</cdr:x>
      <cdr:y>0.02682</cdr:y>
    </cdr:from>
    <cdr:to>
      <cdr:x>0.90917</cdr:x>
      <cdr:y>0.15465</cdr:y>
    </cdr:to>
    <cdr:sp macro="" textlink="">
      <cdr:nvSpPr>
        <cdr:cNvPr id="2" name="TextBox 1">
          <a:extLst xmlns:a="http://schemas.openxmlformats.org/drawingml/2006/main">
            <a:ext uri="{FF2B5EF4-FFF2-40B4-BE49-F238E27FC236}">
              <a16:creationId xmlns:a16="http://schemas.microsoft.com/office/drawing/2014/main" id="{586DFB49-571A-4C8C-B0F3-B62FE7716C92}"/>
            </a:ext>
          </a:extLst>
        </cdr:cNvPr>
        <cdr:cNvSpPr txBox="1"/>
      </cdr:nvSpPr>
      <cdr:spPr>
        <a:xfrm xmlns:a="http://schemas.openxmlformats.org/drawingml/2006/main">
          <a:off x="565150" y="170168"/>
          <a:ext cx="6457950" cy="810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aseline="0"/>
            <a:t>This graph shows the annual expected savings as a result of each proposal.</a:t>
          </a:r>
        </a:p>
        <a:p xmlns:a="http://schemas.openxmlformats.org/drawingml/2006/main">
          <a:endParaRPr lang="en-US" sz="1100" baseline="0"/>
        </a:p>
      </cdr:txBody>
    </cdr:sp>
  </cdr:relSizeAnchor>
</c:userShapes>
</file>

<file path=xl/drawings/drawing4.xml><?xml version="1.0" encoding="utf-8"?>
<xdr:wsDr xmlns:xdr="http://schemas.openxmlformats.org/drawingml/2006/spreadsheetDrawing" xmlns:a="http://schemas.openxmlformats.org/drawingml/2006/main">
  <xdr:twoCellAnchor>
    <xdr:from>
      <xdr:col>28</xdr:col>
      <xdr:colOff>571499</xdr:colOff>
      <xdr:row>0</xdr:row>
      <xdr:rowOff>547686</xdr:rowOff>
    </xdr:from>
    <xdr:to>
      <xdr:col>37</xdr:col>
      <xdr:colOff>485774</xdr:colOff>
      <xdr:row>8</xdr:row>
      <xdr:rowOff>180974</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wente/Downloads/Copy%20of%20demand_re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support"/>
      <sheetName val="demand_function_size"/>
    </sheetNames>
    <sheetDataSet>
      <sheetData sheetId="0">
        <row r="1">
          <cell r="S1" t="str">
            <v>Jan</v>
          </cell>
          <cell r="V1" t="str">
            <v>Apr</v>
          </cell>
          <cell r="W1" t="str">
            <v>May</v>
          </cell>
          <cell r="X1" t="str">
            <v>Jun</v>
          </cell>
          <cell r="Y1" t="str">
            <v>Jul</v>
          </cell>
          <cell r="Z1" t="str">
            <v>Aug</v>
          </cell>
          <cell r="AA1" t="str">
            <v>Sep</v>
          </cell>
          <cell r="AB1" t="str">
            <v>Oct</v>
          </cell>
          <cell r="AC1" t="str">
            <v>Nov</v>
          </cell>
          <cell r="AD1" t="str">
            <v>Dec</v>
          </cell>
        </row>
        <row r="2">
          <cell r="C2">
            <v>2.706810290316497E-2</v>
          </cell>
          <cell r="S2">
            <v>-2.2093081573365675E-3</v>
          </cell>
          <cell r="V2">
            <v>-5.4558409257341178E-2</v>
          </cell>
          <cell r="W2">
            <v>-5.1872245428706248E-2</v>
          </cell>
          <cell r="X2">
            <v>-8.3634461292348944E-2</v>
          </cell>
          <cell r="Y2">
            <v>-6.2101466562614983E-2</v>
          </cell>
          <cell r="Z2">
            <v>-4.499300434138815E-2</v>
          </cell>
          <cell r="AA2">
            <v>-3.0883217268954741E-2</v>
          </cell>
          <cell r="AB2">
            <v>-2.245683991118759E-2</v>
          </cell>
          <cell r="AC2">
            <v>-2.0223248122373035E-2</v>
          </cell>
          <cell r="AD2">
            <v>-1.7324872499290548E-2</v>
          </cell>
        </row>
        <row r="3">
          <cell r="C3">
            <v>5.413620580632994E-2</v>
          </cell>
          <cell r="S3">
            <v>-3.4734233602831122E-3</v>
          </cell>
          <cell r="V3">
            <v>-6.0269038178615515E-2</v>
          </cell>
          <cell r="W3">
            <v>-5.6256544803857084E-2</v>
          </cell>
          <cell r="X3">
            <v>-0.13537326064518479</v>
          </cell>
          <cell r="Y3">
            <v>-9.843194656164464E-2</v>
          </cell>
          <cell r="Z3">
            <v>-5.3642182261505612E-2</v>
          </cell>
          <cell r="AA3">
            <v>-5.5897910841184756E-2</v>
          </cell>
          <cell r="AB3">
            <v>-3.5950881326747917E-2</v>
          </cell>
          <cell r="AC3">
            <v>-3.1764624819127701E-2</v>
          </cell>
          <cell r="AD3">
            <v>-2.4222712772214775E-2</v>
          </cell>
        </row>
        <row r="4">
          <cell r="C4">
            <v>8.120430870949491E-2</v>
          </cell>
          <cell r="S4">
            <v>-4.7375385632294747E-3</v>
          </cell>
          <cell r="V4">
            <v>-6.5979667099889852E-2</v>
          </cell>
          <cell r="W4">
            <v>-6.064084417900812E-2</v>
          </cell>
          <cell r="X4">
            <v>-0.15030813015191388</v>
          </cell>
          <cell r="Y4">
            <v>-0.12794111106169104</v>
          </cell>
          <cell r="Z4">
            <v>-6.2291360181623248E-2</v>
          </cell>
          <cell r="AA4">
            <v>-6.4954494452063305E-2</v>
          </cell>
          <cell r="AB4">
            <v>-3.9902125152929499E-2</v>
          </cell>
          <cell r="AC4">
            <v>-3.7991800454764704E-2</v>
          </cell>
          <cell r="AD4">
            <v>-2.8951829989827562E-2</v>
          </cell>
        </row>
        <row r="5">
          <cell r="C5">
            <v>0.10827241161265988</v>
          </cell>
          <cell r="S5">
            <v>-6.0016537661760194E-3</v>
          </cell>
          <cell r="V5">
            <v>-7.1690296021164196E-2</v>
          </cell>
          <cell r="W5">
            <v>-6.5025143554159157E-2</v>
          </cell>
          <cell r="X5">
            <v>-0.16524501952197909</v>
          </cell>
          <cell r="Y5">
            <v>-0.13966512071747139</v>
          </cell>
          <cell r="Z5">
            <v>-7.0942937984626336E-2</v>
          </cell>
          <cell r="AA5">
            <v>-7.2301280567082835E-2</v>
          </cell>
          <cell r="AB5">
            <v>-4.386243146495087E-2</v>
          </cell>
          <cell r="AC5">
            <v>-4.2556673327361697E-2</v>
          </cell>
          <cell r="AD5">
            <v>-3.3680947207440345E-2</v>
          </cell>
        </row>
        <row r="6">
          <cell r="C6">
            <v>0.13534051451582485</v>
          </cell>
          <cell r="S6">
            <v>-7.2657689691223819E-3</v>
          </cell>
          <cell r="V6">
            <v>-7.740092494243854E-2</v>
          </cell>
          <cell r="W6">
            <v>-6.9408004510880181E-2</v>
          </cell>
          <cell r="X6">
            <v>-0.1801819088920443</v>
          </cell>
          <cell r="Y6">
            <v>-0.1476368003299463</v>
          </cell>
          <cell r="Z6">
            <v>-7.9592115904743799E-2</v>
          </cell>
          <cell r="AA6">
            <v>-7.9639161486811383E-2</v>
          </cell>
          <cell r="AB6">
            <v>-4.7822737776972234E-2</v>
          </cell>
          <cell r="AC6">
            <v>-4.7130159167642752E-2</v>
          </cell>
          <cell r="AD6">
            <v>-3.8410064425052938E-2</v>
          </cell>
        </row>
        <row r="7">
          <cell r="C7">
            <v>0.16240861741898982</v>
          </cell>
          <cell r="S7">
            <v>-8.5298841720687444E-3</v>
          </cell>
          <cell r="V7">
            <v>-8.311155386371287E-2</v>
          </cell>
          <cell r="W7">
            <v>-7.3792303886031224E-2</v>
          </cell>
          <cell r="X7">
            <v>-0.19511677839877356</v>
          </cell>
          <cell r="Y7">
            <v>-0.15561050167197032</v>
          </cell>
          <cell r="Z7">
            <v>-8.8241293824861428E-2</v>
          </cell>
          <cell r="AA7">
            <v>-8.6977042406539945E-2</v>
          </cell>
          <cell r="AB7">
            <v>-5.1783044088993598E-2</v>
          </cell>
          <cell r="AC7">
            <v>-5.1695032040239744E-2</v>
          </cell>
          <cell r="AD7">
            <v>-4.3137797645821194E-2</v>
          </cell>
        </row>
        <row r="8">
          <cell r="C8">
            <v>0.18947672032215479</v>
          </cell>
          <cell r="S8">
            <v>-9.7939993750152891E-3</v>
          </cell>
          <cell r="V8">
            <v>-8.8822182784987214E-2</v>
          </cell>
          <cell r="W8">
            <v>-7.8176603261182254E-2</v>
          </cell>
          <cell r="X8">
            <v>-0.1974537602785795</v>
          </cell>
          <cell r="Y8">
            <v>-0.16358218128444521</v>
          </cell>
          <cell r="Z8">
            <v>-9.689047174497889E-2</v>
          </cell>
          <cell r="AA8">
            <v>-9.4323828521559475E-2</v>
          </cell>
          <cell r="AB8">
            <v>-5.5743350401014968E-2</v>
          </cell>
          <cell r="AC8">
            <v>-5.6259904912836736E-2</v>
          </cell>
          <cell r="AD8">
            <v>-4.7866914863433974E-2</v>
          </cell>
        </row>
        <row r="9">
          <cell r="C9">
            <v>0.21654482322531976</v>
          </cell>
          <cell r="S9">
            <v>-1.1058114577961652E-2</v>
          </cell>
          <cell r="V9">
            <v>-9.4532811706261557E-2</v>
          </cell>
          <cell r="W9">
            <v>-8.2559464217903084E-2</v>
          </cell>
          <cell r="X9">
            <v>-0.1974537602785795</v>
          </cell>
          <cell r="Y9">
            <v>-0.1715558826264694</v>
          </cell>
          <cell r="Z9">
            <v>-0.10553964966509635</v>
          </cell>
          <cell r="AA9">
            <v>-0.10166170944128802</v>
          </cell>
          <cell r="AB9">
            <v>-5.9703656713036332E-2</v>
          </cell>
          <cell r="AC9">
            <v>-6.0833390753117916E-2</v>
          </cell>
          <cell r="AD9">
            <v>-5.1212035236559643E-2</v>
          </cell>
        </row>
        <row r="10">
          <cell r="C10">
            <v>0.24361292612848473</v>
          </cell>
          <cell r="S10">
            <v>-1.2322229780908014E-2</v>
          </cell>
          <cell r="V10">
            <v>-0.1002434406275359</v>
          </cell>
          <cell r="W10">
            <v>-8.6943763593054113E-2</v>
          </cell>
          <cell r="X10">
            <v>-0.1974537602785795</v>
          </cell>
          <cell r="Y10">
            <v>-0.17952958396849342</v>
          </cell>
          <cell r="Z10">
            <v>-0.11419122746809961</v>
          </cell>
          <cell r="AA10">
            <v>-0.10842075266710596</v>
          </cell>
          <cell r="AB10">
            <v>-6.3654900539217921E-2</v>
          </cell>
          <cell r="AC10">
            <v>-6.3968510990146707E-2</v>
          </cell>
          <cell r="AD10">
            <v>-5.1212035236559643E-2</v>
          </cell>
        </row>
        <row r="11">
          <cell r="C11">
            <v>0.2706810290316497</v>
          </cell>
          <cell r="S11">
            <v>-1.3586344983854559E-2</v>
          </cell>
          <cell r="V11">
            <v>-0.10595406954881023</v>
          </cell>
          <cell r="W11">
            <v>-9.1328062968205156E-2</v>
          </cell>
          <cell r="X11">
            <v>-0.1974537602785795</v>
          </cell>
          <cell r="Y11">
            <v>-0.1875012635809683</v>
          </cell>
          <cell r="Z11">
            <v>-0.1220940418107596</v>
          </cell>
          <cell r="AA11">
            <v>-0.11316544071811488</v>
          </cell>
          <cell r="AB11">
            <v>-6.7615206851239285E-2</v>
          </cell>
          <cell r="AC11">
            <v>-6.5958106525184329E-2</v>
          </cell>
          <cell r="AD11">
            <v>-5.1212035236559643E-2</v>
          </cell>
        </row>
        <row r="12">
          <cell r="C12">
            <v>0.29774913193481467</v>
          </cell>
          <cell r="S12">
            <v>-1.4850460186800921E-2</v>
          </cell>
          <cell r="V12">
            <v>-0.11166469847008458</v>
          </cell>
          <cell r="W12">
            <v>-9.5710923924925972E-2</v>
          </cell>
          <cell r="X12">
            <v>-0.1974537602785795</v>
          </cell>
          <cell r="Y12">
            <v>-0.19547496492299235</v>
          </cell>
          <cell r="Z12">
            <v>-0.12779616354721887</v>
          </cell>
          <cell r="AA12">
            <v>-0.11689671754501579</v>
          </cell>
          <cell r="AB12">
            <v>-7.1575513163260648E-2</v>
          </cell>
          <cell r="AC12">
            <v>-6.7672087094329217E-2</v>
          </cell>
          <cell r="AD12">
            <v>-5.1212035236559643E-2</v>
          </cell>
        </row>
        <row r="13">
          <cell r="C13">
            <v>0.32481723483797964</v>
          </cell>
          <cell r="S13">
            <v>-1.6114575389747466E-2</v>
          </cell>
          <cell r="V13">
            <v>-0.11737400792996301</v>
          </cell>
          <cell r="W13">
            <v>-0.10009522330007702</v>
          </cell>
          <cell r="X13">
            <v>-0.1974537602785795</v>
          </cell>
          <cell r="Y13">
            <v>-0.20344664453546724</v>
          </cell>
          <cell r="Z13">
            <v>-0.13350068516656394</v>
          </cell>
          <cell r="AA13">
            <v>-0.11689671754501579</v>
          </cell>
          <cell r="AB13">
            <v>-7.5535819475282012E-2</v>
          </cell>
          <cell r="AC13">
            <v>-6.9394680631158293E-2</v>
          </cell>
          <cell r="AD13">
            <v>-5.1212035236559643E-2</v>
          </cell>
        </row>
        <row r="14">
          <cell r="C14">
            <v>0.35188533774114461</v>
          </cell>
          <cell r="S14">
            <v>-1.7378690592693827E-2</v>
          </cell>
          <cell r="V14">
            <v>-0.12308463685123736</v>
          </cell>
          <cell r="W14">
            <v>-0.10447952267522805</v>
          </cell>
          <cell r="X14">
            <v>-0.1974537602785795</v>
          </cell>
          <cell r="Y14">
            <v>-0.21142034587749126</v>
          </cell>
          <cell r="Z14">
            <v>-0.1392028069030232</v>
          </cell>
          <cell r="AA14">
            <v>-0.11689671754501579</v>
          </cell>
          <cell r="AB14">
            <v>-7.9496125787303515E-2</v>
          </cell>
          <cell r="AC14">
            <v>-7.110866120030318E-2</v>
          </cell>
          <cell r="AD14">
            <v>-5.1212035236559643E-2</v>
          </cell>
        </row>
        <row r="15">
          <cell r="C15">
            <v>0.37895344064430958</v>
          </cell>
          <cell r="S15">
            <v>-1.8642805795640191E-2</v>
          </cell>
          <cell r="V15">
            <v>-0.12879526577251169</v>
          </cell>
          <cell r="W15">
            <v>-0.10886238363194897</v>
          </cell>
          <cell r="X15">
            <v>-0.1974537602785795</v>
          </cell>
          <cell r="Y15">
            <v>-0.21939202548996617</v>
          </cell>
          <cell r="Z15">
            <v>-0.1449073285223681</v>
          </cell>
          <cell r="AA15">
            <v>-0.11689671754501579</v>
          </cell>
          <cell r="AB15">
            <v>-8.3456432099324879E-2</v>
          </cell>
          <cell r="AC15">
            <v>-7.2262798869978648E-2</v>
          </cell>
          <cell r="AD15">
            <v>-5.1212035236559643E-2</v>
          </cell>
        </row>
        <row r="16">
          <cell r="C16">
            <v>0.40602154354747455</v>
          </cell>
          <cell r="S16">
            <v>-1.9906920998586736E-2</v>
          </cell>
          <cell r="V16">
            <v>-0.13450589469378604</v>
          </cell>
          <cell r="W16">
            <v>-0.1132466830071</v>
          </cell>
          <cell r="X16">
            <v>-0.1974537602785795</v>
          </cell>
          <cell r="Y16">
            <v>-0.22736572683199019</v>
          </cell>
          <cell r="Z16">
            <v>-0.15040066044777023</v>
          </cell>
          <cell r="AA16">
            <v>-0.11689671754501579</v>
          </cell>
          <cell r="AB16">
            <v>-8.5767365988490635E-2</v>
          </cell>
          <cell r="AC16">
            <v>-7.2788189898711442E-2</v>
          </cell>
          <cell r="AD16">
            <v>-5.1212035236559643E-2</v>
          </cell>
        </row>
        <row r="17">
          <cell r="C17">
            <v>0.43308964645063952</v>
          </cell>
          <cell r="S17">
            <v>-2.1171036201533096E-2</v>
          </cell>
          <cell r="V17">
            <v>-0.14021652361506037</v>
          </cell>
          <cell r="W17">
            <v>-0.11763098238225095</v>
          </cell>
          <cell r="X17">
            <v>-0.1974537602785795</v>
          </cell>
          <cell r="Y17">
            <v>-0.2353374064444651</v>
          </cell>
          <cell r="Z17">
            <v>-0.15160300177351352</v>
          </cell>
          <cell r="AA17">
            <v>-0.11689671754501579</v>
          </cell>
          <cell r="AB17">
            <v>-8.5767365988490635E-2</v>
          </cell>
          <cell r="AC17">
            <v>-7.3313580927444361E-2</v>
          </cell>
          <cell r="AD17">
            <v>-5.1212035236559643E-2</v>
          </cell>
        </row>
        <row r="18">
          <cell r="C18">
            <v>0.46015774935380449</v>
          </cell>
          <cell r="S18">
            <v>-2.2435151404479461E-2</v>
          </cell>
          <cell r="V18">
            <v>-0.1459271525363347</v>
          </cell>
          <cell r="W18">
            <v>-0.12201528175740198</v>
          </cell>
          <cell r="X18">
            <v>-0.1974537602785795</v>
          </cell>
          <cell r="Y18">
            <v>-0.24331110778648926</v>
          </cell>
          <cell r="Z18">
            <v>-0.15280294321637106</v>
          </cell>
          <cell r="AA18">
            <v>-0.11689671754501579</v>
          </cell>
          <cell r="AB18">
            <v>-8.5767365988490635E-2</v>
          </cell>
          <cell r="AC18">
            <v>-7.3838971956177168E-2</v>
          </cell>
          <cell r="AD18">
            <v>-5.1212035236559643E-2</v>
          </cell>
        </row>
        <row r="19">
          <cell r="C19">
            <v>0.48722585225696946</v>
          </cell>
          <cell r="S19">
            <v>-2.3699266607426005E-2</v>
          </cell>
          <cell r="V19">
            <v>-0.15083554892892725</v>
          </cell>
          <cell r="W19">
            <v>-0.12639814271412289</v>
          </cell>
          <cell r="X19">
            <v>-0.1974537602785795</v>
          </cell>
          <cell r="Y19">
            <v>-0.24799545515197341</v>
          </cell>
          <cell r="Z19">
            <v>-0.15400528454211437</v>
          </cell>
          <cell r="AA19">
            <v>-0.11689671754501579</v>
          </cell>
          <cell r="AB19">
            <v>-8.5767365988490635E-2</v>
          </cell>
          <cell r="AC19">
            <v>-7.4364362984910087E-2</v>
          </cell>
          <cell r="AD19">
            <v>-5.1212035236559643E-2</v>
          </cell>
        </row>
        <row r="20">
          <cell r="C20">
            <v>0.51429395516013443</v>
          </cell>
          <cell r="S20">
            <v>-2.4963381810372366E-2</v>
          </cell>
          <cell r="V20">
            <v>-0.15282133832969377</v>
          </cell>
          <cell r="W20">
            <v>-0.13078244208927395</v>
          </cell>
          <cell r="X20">
            <v>-0.1974537602785795</v>
          </cell>
          <cell r="Y20">
            <v>-0.24799545515197341</v>
          </cell>
          <cell r="Z20">
            <v>-0.15520522598497188</v>
          </cell>
          <cell r="AA20">
            <v>-0.11689671754501579</v>
          </cell>
          <cell r="AB20">
            <v>-8.5767365988490635E-2</v>
          </cell>
          <cell r="AC20">
            <v>-7.4889754013642881E-2</v>
          </cell>
          <cell r="AD20">
            <v>-5.1212035236559643E-2</v>
          </cell>
        </row>
        <row r="21">
          <cell r="C21">
            <v>0.5413620580632994</v>
          </cell>
          <cell r="S21">
            <v>-2.6227497013318911E-2</v>
          </cell>
          <cell r="V21">
            <v>-0.15480712773046049</v>
          </cell>
          <cell r="W21">
            <v>-0.13516674146442498</v>
          </cell>
          <cell r="X21">
            <v>-0.1974537602785795</v>
          </cell>
          <cell r="Y21">
            <v>-0.24799545515197341</v>
          </cell>
          <cell r="Z21">
            <v>-0.15640516742782959</v>
          </cell>
          <cell r="AA21">
            <v>-0.11689671754501579</v>
          </cell>
          <cell r="AB21">
            <v>-8.5767365988490635E-2</v>
          </cell>
          <cell r="AC21">
            <v>-7.54151450423758E-2</v>
          </cell>
          <cell r="AD21">
            <v>-5.1212035236559643E-2</v>
          </cell>
        </row>
        <row r="22">
          <cell r="C22">
            <v>0.56843016096646437</v>
          </cell>
          <cell r="S22">
            <v>-2.7491612216265275E-2</v>
          </cell>
          <cell r="V22">
            <v>-0.15679423659262293</v>
          </cell>
          <cell r="W22">
            <v>-0.13954960242114581</v>
          </cell>
          <cell r="X22">
            <v>-0.1974537602785795</v>
          </cell>
          <cell r="Y22">
            <v>-0.24799545515197341</v>
          </cell>
          <cell r="Z22">
            <v>-0.15760750875357291</v>
          </cell>
          <cell r="AA22">
            <v>-0.11689671754501579</v>
          </cell>
          <cell r="AB22">
            <v>-8.5767365988490635E-2</v>
          </cell>
          <cell r="AC22">
            <v>-7.5940536071108608E-2</v>
          </cell>
          <cell r="AD22">
            <v>-5.1212035236559643E-2</v>
          </cell>
        </row>
        <row r="23">
          <cell r="C23">
            <v>0.59549826386962934</v>
          </cell>
          <cell r="S23">
            <v>-2.8755727419211636E-2</v>
          </cell>
          <cell r="V23">
            <v>-0.15878002599338945</v>
          </cell>
          <cell r="W23">
            <v>-0.14393390179629684</v>
          </cell>
          <cell r="X23">
            <v>-0.1974537602785795</v>
          </cell>
          <cell r="Y23">
            <v>-0.24799545515197341</v>
          </cell>
          <cell r="Z23">
            <v>-0.15880745019643042</v>
          </cell>
          <cell r="AA23">
            <v>-0.11689671754501579</v>
          </cell>
          <cell r="AB23">
            <v>-8.5767365988490635E-2</v>
          </cell>
          <cell r="AC23">
            <v>-7.6465927099841527E-2</v>
          </cell>
          <cell r="AD23">
            <v>-5.1212035236559643E-2</v>
          </cell>
        </row>
        <row r="24">
          <cell r="C24">
            <v>0.62256636677279431</v>
          </cell>
          <cell r="S24">
            <v>-3.0019842622158181E-2</v>
          </cell>
          <cell r="V24">
            <v>-0.16076713485555197</v>
          </cell>
          <cell r="W24">
            <v>-0.14831820117144787</v>
          </cell>
          <cell r="X24">
            <v>-0.1974537602785795</v>
          </cell>
          <cell r="Y24">
            <v>-0.24799545515197341</v>
          </cell>
          <cell r="Z24">
            <v>-0.16000979152217373</v>
          </cell>
          <cell r="AA24">
            <v>-0.11689671754501579</v>
          </cell>
          <cell r="AB24">
            <v>-8.5767365988490635E-2</v>
          </cell>
          <cell r="AC24">
            <v>-7.6991318128574321E-2</v>
          </cell>
          <cell r="AD24">
            <v>-5.1212035236559643E-2</v>
          </cell>
        </row>
        <row r="25">
          <cell r="C25">
            <v>0.64963446967595928</v>
          </cell>
          <cell r="S25">
            <v>-3.1283957825104541E-2</v>
          </cell>
          <cell r="V25">
            <v>-0.1627529242563186</v>
          </cell>
          <cell r="W25">
            <v>-0.15270106212816881</v>
          </cell>
          <cell r="X25">
            <v>-0.1974537602785795</v>
          </cell>
          <cell r="Y25">
            <v>-0.24799545515197341</v>
          </cell>
          <cell r="Z25">
            <v>-0.16120973296503124</v>
          </cell>
          <cell r="AA25">
            <v>-0.11689671754501579</v>
          </cell>
          <cell r="AB25">
            <v>-8.5767365988490635E-2</v>
          </cell>
          <cell r="AC25">
            <v>-7.751670915730724E-2</v>
          </cell>
          <cell r="AD25">
            <v>-5.1212035236559643E-2</v>
          </cell>
        </row>
        <row r="26">
          <cell r="C26">
            <v>0.67670257257912425</v>
          </cell>
          <cell r="S26">
            <v>-3.2548073028050906E-2</v>
          </cell>
          <cell r="V26">
            <v>-0.16474003311848101</v>
          </cell>
          <cell r="W26">
            <v>-0.15708536150331984</v>
          </cell>
          <cell r="X26">
            <v>-0.1974537602785795</v>
          </cell>
          <cell r="Y26">
            <v>-0.24799545515197341</v>
          </cell>
          <cell r="Z26">
            <v>-0.16241207429077456</v>
          </cell>
          <cell r="AA26">
            <v>-0.11689671754501579</v>
          </cell>
          <cell r="AB26">
            <v>-8.5767365988490635E-2</v>
          </cell>
          <cell r="AC26">
            <v>-7.8042100186040048E-2</v>
          </cell>
          <cell r="AD26">
            <v>-5.1212035236559643E-2</v>
          </cell>
        </row>
        <row r="27">
          <cell r="C27">
            <v>0.70377067548228922</v>
          </cell>
          <cell r="S27">
            <v>-3.381218823099745E-2</v>
          </cell>
          <cell r="V27">
            <v>-0.16490892417715086</v>
          </cell>
          <cell r="W27">
            <v>-0.16146966087847087</v>
          </cell>
          <cell r="X27">
            <v>-0.1974537602785795</v>
          </cell>
          <cell r="Y27">
            <v>-0.24799545515197341</v>
          </cell>
          <cell r="Z27">
            <v>-0.16361201573363227</v>
          </cell>
          <cell r="AA27">
            <v>-0.11689671754501579</v>
          </cell>
          <cell r="AB27">
            <v>-8.5767365988490635E-2</v>
          </cell>
          <cell r="AC27">
            <v>-7.8567491214772966E-2</v>
          </cell>
          <cell r="AD27">
            <v>-5.1212035236559643E-2</v>
          </cell>
        </row>
        <row r="28">
          <cell r="C28">
            <v>0.73083877838545419</v>
          </cell>
          <cell r="S28">
            <v>-3.5076303433943815E-2</v>
          </cell>
          <cell r="V28">
            <v>-0.16490892417715086</v>
          </cell>
          <cell r="W28">
            <v>-0.1658525218351917</v>
          </cell>
          <cell r="X28">
            <v>-0.1974537602785795</v>
          </cell>
          <cell r="Y28">
            <v>-0.24799545515197341</v>
          </cell>
          <cell r="Z28">
            <v>-0.16481195717648978</v>
          </cell>
          <cell r="AA28">
            <v>-0.11689671754501579</v>
          </cell>
          <cell r="AB28">
            <v>-8.5767365988490635E-2</v>
          </cell>
          <cell r="AC28">
            <v>-7.909288224350576E-2</v>
          </cell>
          <cell r="AD28">
            <v>-5.1212035236559643E-2</v>
          </cell>
        </row>
        <row r="29">
          <cell r="C29">
            <v>0.75790688128861916</v>
          </cell>
          <cell r="S29">
            <v>-3.6340418636890179E-2</v>
          </cell>
          <cell r="V29">
            <v>-0.16490892417715086</v>
          </cell>
          <cell r="W29">
            <v>-0.17023682121034273</v>
          </cell>
          <cell r="X29">
            <v>-0.1974537602785795</v>
          </cell>
          <cell r="Y29">
            <v>-0.24799545515197341</v>
          </cell>
          <cell r="Z29">
            <v>-0.16601429850223309</v>
          </cell>
          <cell r="AA29">
            <v>-0.11689671754501579</v>
          </cell>
          <cell r="AB29">
            <v>-8.5767365988490635E-2</v>
          </cell>
          <cell r="AC29">
            <v>-7.9618273272238679E-2</v>
          </cell>
          <cell r="AD29">
            <v>-5.1212035236559643E-2</v>
          </cell>
        </row>
        <row r="30">
          <cell r="C30">
            <v>0.78497498419178413</v>
          </cell>
          <cell r="S30">
            <v>-3.7353768362141243E-2</v>
          </cell>
          <cell r="V30">
            <v>-0.16490892417715086</v>
          </cell>
          <cell r="W30">
            <v>-0.17462112058549376</v>
          </cell>
          <cell r="X30">
            <v>-0.1974537602785795</v>
          </cell>
          <cell r="Y30">
            <v>-0.24799545515197341</v>
          </cell>
          <cell r="Z30">
            <v>-0.16721423994509077</v>
          </cell>
          <cell r="AA30">
            <v>-0.11689671754501579</v>
          </cell>
          <cell r="AB30">
            <v>-8.5767365988490635E-2</v>
          </cell>
          <cell r="AC30">
            <v>-8.0143664300971473E-2</v>
          </cell>
          <cell r="AD30">
            <v>-5.1212035236559643E-2</v>
          </cell>
        </row>
        <row r="31">
          <cell r="C31">
            <v>0.8120430870949491</v>
          </cell>
          <cell r="S31">
            <v>-3.7353768362141243E-2</v>
          </cell>
          <cell r="V31">
            <v>-0.16490892417715086</v>
          </cell>
          <cell r="W31">
            <v>-0.17900541996064481</v>
          </cell>
          <cell r="X31">
            <v>-0.1974537602785795</v>
          </cell>
          <cell r="Y31">
            <v>-0.24799545515197341</v>
          </cell>
          <cell r="Z31">
            <v>-0.16841658127083392</v>
          </cell>
          <cell r="AA31">
            <v>-0.11689671754501579</v>
          </cell>
          <cell r="AB31">
            <v>-8.5767365988490635E-2</v>
          </cell>
          <cell r="AC31">
            <v>-8.0669055329704406E-2</v>
          </cell>
          <cell r="AD31">
            <v>-5.1212035236559643E-2</v>
          </cell>
        </row>
        <row r="32">
          <cell r="C32">
            <v>0.83911118999811407</v>
          </cell>
          <cell r="S32">
            <v>-3.7353768362141243E-2</v>
          </cell>
          <cell r="V32">
            <v>-0.16490892417715086</v>
          </cell>
          <cell r="W32">
            <v>-0.18338828091736561</v>
          </cell>
          <cell r="X32">
            <v>-0.1974537602785795</v>
          </cell>
          <cell r="Y32">
            <v>-0.24799545515197341</v>
          </cell>
          <cell r="Z32">
            <v>-0.16961652271369163</v>
          </cell>
          <cell r="AA32">
            <v>-0.11689671754501579</v>
          </cell>
          <cell r="AB32">
            <v>-8.5767365988490635E-2</v>
          </cell>
          <cell r="AC32">
            <v>-8.11944463584372E-2</v>
          </cell>
          <cell r="AD32">
            <v>-5.1212035236559643E-2</v>
          </cell>
        </row>
        <row r="33">
          <cell r="C33">
            <v>0.86617929290127904</v>
          </cell>
          <cell r="S33">
            <v>-3.7353768362141243E-2</v>
          </cell>
          <cell r="V33">
            <v>-0.16490892417715086</v>
          </cell>
          <cell r="W33">
            <v>-0.18777258029251667</v>
          </cell>
          <cell r="X33">
            <v>-0.1974537602785795</v>
          </cell>
          <cell r="Y33">
            <v>-0.24799545515197341</v>
          </cell>
          <cell r="Z33">
            <v>-0.17081886403943494</v>
          </cell>
          <cell r="AA33">
            <v>-0.11689671754501579</v>
          </cell>
          <cell r="AB33">
            <v>-8.5767365988490635E-2</v>
          </cell>
          <cell r="AC33">
            <v>-8.1719837387170119E-2</v>
          </cell>
          <cell r="AD33">
            <v>-5.1212035236559643E-2</v>
          </cell>
        </row>
        <row r="34">
          <cell r="C34">
            <v>0.89324739580444401</v>
          </cell>
          <cell r="S34">
            <v>-3.7353768362141243E-2</v>
          </cell>
          <cell r="V34">
            <v>-0.16490892417715086</v>
          </cell>
          <cell r="W34">
            <v>-0.1921568796676677</v>
          </cell>
          <cell r="X34">
            <v>-0.1974537602785795</v>
          </cell>
          <cell r="Y34">
            <v>-0.24799545515197341</v>
          </cell>
          <cell r="Z34">
            <v>-0.17201880548229245</v>
          </cell>
          <cell r="AA34">
            <v>-0.11689671754501579</v>
          </cell>
          <cell r="AB34">
            <v>-8.5767365988490635E-2</v>
          </cell>
          <cell r="AC34">
            <v>-8.2245228415902913E-2</v>
          </cell>
          <cell r="AD34">
            <v>-5.1212035236559643E-2</v>
          </cell>
        </row>
        <row r="35">
          <cell r="C35">
            <v>0.92031549870760898</v>
          </cell>
          <cell r="S35">
            <v>-3.7353768362141243E-2</v>
          </cell>
          <cell r="V35">
            <v>-0.16490892417715086</v>
          </cell>
          <cell r="W35">
            <v>-0.19653974062438861</v>
          </cell>
          <cell r="X35">
            <v>-0.1974537602785795</v>
          </cell>
          <cell r="Y35">
            <v>-0.24799545515197341</v>
          </cell>
          <cell r="Z35">
            <v>-0.17322114680803577</v>
          </cell>
          <cell r="AA35">
            <v>-0.11689671754501579</v>
          </cell>
          <cell r="AB35">
            <v>-8.5767365988490635E-2</v>
          </cell>
          <cell r="AC35">
            <v>-8.2770619444635846E-2</v>
          </cell>
          <cell r="AD35">
            <v>-5.1212035236559643E-2</v>
          </cell>
        </row>
        <row r="36">
          <cell r="C36">
            <v>0.94738360161077395</v>
          </cell>
          <cell r="S36">
            <v>-3.7353768362141243E-2</v>
          </cell>
          <cell r="V36">
            <v>-0.16490892417715086</v>
          </cell>
          <cell r="W36">
            <v>-0.20092403999953964</v>
          </cell>
          <cell r="X36">
            <v>-0.1974537602785795</v>
          </cell>
          <cell r="Y36">
            <v>-0.24799545515197341</v>
          </cell>
          <cell r="Z36">
            <v>-0.17442108825089345</v>
          </cell>
          <cell r="AA36">
            <v>-0.11689671754501579</v>
          </cell>
          <cell r="AB36">
            <v>-8.5767365988490635E-2</v>
          </cell>
          <cell r="AC36">
            <v>-8.329601047336864E-2</v>
          </cell>
          <cell r="AD36">
            <v>-5.1212035236559643E-2</v>
          </cell>
        </row>
        <row r="37">
          <cell r="C37">
            <v>0.97445170451393892</v>
          </cell>
          <cell r="S37">
            <v>-3.7353768362141243E-2</v>
          </cell>
          <cell r="V37">
            <v>-0.16490892417715086</v>
          </cell>
          <cell r="W37">
            <v>-0.2053083393746907</v>
          </cell>
          <cell r="X37">
            <v>-0.1974537602785795</v>
          </cell>
          <cell r="Y37">
            <v>-0.24799545515197341</v>
          </cell>
          <cell r="Z37">
            <v>-0.17562102969375099</v>
          </cell>
          <cell r="AA37">
            <v>-0.11689671754501579</v>
          </cell>
          <cell r="AB37">
            <v>-8.5767365988490635E-2</v>
          </cell>
          <cell r="AC37">
            <v>-8.3821401502101558E-2</v>
          </cell>
          <cell r="AD37">
            <v>-5.1212035236559643E-2</v>
          </cell>
        </row>
        <row r="38">
          <cell r="C38">
            <v>1.0015198074171039</v>
          </cell>
          <cell r="S38">
            <v>-3.7353768362141243E-2</v>
          </cell>
          <cell r="V38">
            <v>-0.16490892417715086</v>
          </cell>
          <cell r="W38">
            <v>-0.2096912003314115</v>
          </cell>
          <cell r="X38">
            <v>-0.1974537602785795</v>
          </cell>
          <cell r="Y38">
            <v>-0.24799545515197341</v>
          </cell>
          <cell r="Z38">
            <v>-0.1768233710194943</v>
          </cell>
          <cell r="AA38">
            <v>-0.11689671754501579</v>
          </cell>
          <cell r="AB38">
            <v>-8.5767365988490635E-2</v>
          </cell>
          <cell r="AC38">
            <v>-8.4346792530834352E-2</v>
          </cell>
          <cell r="AD38">
            <v>-5.1212035236559643E-2</v>
          </cell>
        </row>
        <row r="39">
          <cell r="C39">
            <v>1.0285879103202689</v>
          </cell>
          <cell r="S39">
            <v>-3.7353768362141243E-2</v>
          </cell>
          <cell r="V39">
            <v>-0.16490892417715086</v>
          </cell>
          <cell r="W39">
            <v>-0.21407549970656256</v>
          </cell>
          <cell r="X39">
            <v>-0.1974537602785795</v>
          </cell>
          <cell r="Y39">
            <v>-0.24799545515197341</v>
          </cell>
          <cell r="Z39">
            <v>-0.17802331246235181</v>
          </cell>
          <cell r="AA39">
            <v>-0.11689671754501579</v>
          </cell>
          <cell r="AB39">
            <v>-8.5767365988490635E-2</v>
          </cell>
          <cell r="AC39">
            <v>-8.4872183559567271E-2</v>
          </cell>
          <cell r="AD39">
            <v>-5.1212035236559643E-2</v>
          </cell>
        </row>
        <row r="40">
          <cell r="C40">
            <v>1.0556560132234338</v>
          </cell>
          <cell r="S40">
            <v>-3.7353768362141243E-2</v>
          </cell>
          <cell r="V40">
            <v>-0.16490892417715086</v>
          </cell>
          <cell r="W40">
            <v>-0.21845979908171359</v>
          </cell>
          <cell r="X40">
            <v>-0.1974537602785795</v>
          </cell>
          <cell r="Y40">
            <v>-0.24799545515197341</v>
          </cell>
          <cell r="Z40">
            <v>-0.17922565378809513</v>
          </cell>
          <cell r="AA40">
            <v>-0.11689671754501579</v>
          </cell>
          <cell r="AB40">
            <v>-8.5767365988490635E-2</v>
          </cell>
          <cell r="AC40">
            <v>-8.5397574588300204E-2</v>
          </cell>
          <cell r="AD40">
            <v>-5.1212035236559643E-2</v>
          </cell>
        </row>
        <row r="41">
          <cell r="C41">
            <v>1.0827241161265988</v>
          </cell>
          <cell r="S41">
            <v>-3.7353768362141243E-2</v>
          </cell>
          <cell r="V41">
            <v>-0.16490892417715086</v>
          </cell>
          <cell r="W41">
            <v>-0.22284409845686462</v>
          </cell>
          <cell r="X41">
            <v>-0.1974537602785795</v>
          </cell>
          <cell r="Y41">
            <v>-0.24799545515197341</v>
          </cell>
          <cell r="Z41">
            <v>-0.18042559523095281</v>
          </cell>
          <cell r="AA41">
            <v>-0.11689671754501579</v>
          </cell>
          <cell r="AB41">
            <v>-8.5767365988490635E-2</v>
          </cell>
          <cell r="AC41">
            <v>-8.5922965617032998E-2</v>
          </cell>
          <cell r="AD41">
            <v>-5.1212035236559643E-2</v>
          </cell>
        </row>
        <row r="42">
          <cell r="C42">
            <v>1.1097922190297638</v>
          </cell>
          <cell r="S42">
            <v>-3.7353768362141243E-2</v>
          </cell>
          <cell r="V42">
            <v>-0.16490892417715086</v>
          </cell>
          <cell r="W42">
            <v>-0.22722695941358556</v>
          </cell>
          <cell r="X42">
            <v>-0.1974537602785795</v>
          </cell>
          <cell r="Y42">
            <v>-0.24799545515197341</v>
          </cell>
          <cell r="Z42">
            <v>-0.18162793655669612</v>
          </cell>
          <cell r="AA42">
            <v>-0.11689671754501579</v>
          </cell>
          <cell r="AB42">
            <v>-8.5767365988490635E-2</v>
          </cell>
          <cell r="AC42">
            <v>-8.6448356645765917E-2</v>
          </cell>
          <cell r="AD42">
            <v>-5.1212035236559643E-2</v>
          </cell>
        </row>
        <row r="43">
          <cell r="C43">
            <v>1.1368603219329287</v>
          </cell>
          <cell r="S43">
            <v>-3.7353768362141243E-2</v>
          </cell>
          <cell r="V43">
            <v>-0.16490892417715086</v>
          </cell>
          <cell r="W43">
            <v>-0.23161125878873659</v>
          </cell>
          <cell r="X43">
            <v>-0.1974537602785795</v>
          </cell>
          <cell r="Y43">
            <v>-0.24799545515197341</v>
          </cell>
          <cell r="Z43">
            <v>-0.18282787799955366</v>
          </cell>
          <cell r="AA43">
            <v>-0.11689671754501579</v>
          </cell>
          <cell r="AB43">
            <v>-8.5767365988490635E-2</v>
          </cell>
          <cell r="AC43">
            <v>-8.6973747674498711E-2</v>
          </cell>
          <cell r="AD43">
            <v>-5.1212035236559643E-2</v>
          </cell>
        </row>
        <row r="44">
          <cell r="C44">
            <v>1.1639284248360937</v>
          </cell>
          <cell r="S44">
            <v>-3.7353768362141243E-2</v>
          </cell>
          <cell r="V44">
            <v>-0.16490892417715086</v>
          </cell>
          <cell r="W44">
            <v>-0.23599555816388762</v>
          </cell>
          <cell r="X44">
            <v>-0.1974537602785795</v>
          </cell>
          <cell r="Y44">
            <v>-0.24799545515197341</v>
          </cell>
          <cell r="Z44">
            <v>-0.18402781944241117</v>
          </cell>
          <cell r="AA44">
            <v>-0.11689671754501579</v>
          </cell>
          <cell r="AB44">
            <v>-8.5767365988490635E-2</v>
          </cell>
          <cell r="AC44">
            <v>-8.7499138703231644E-2</v>
          </cell>
          <cell r="AD44">
            <v>-5.1212035236559643E-2</v>
          </cell>
        </row>
        <row r="45">
          <cell r="C45">
            <v>1.1909965277392587</v>
          </cell>
          <cell r="S45">
            <v>-3.7353768362141243E-2</v>
          </cell>
          <cell r="V45">
            <v>-0.16490892417715086</v>
          </cell>
          <cell r="W45">
            <v>-0.24037841912060845</v>
          </cell>
          <cell r="X45">
            <v>-0.1974537602785795</v>
          </cell>
          <cell r="Y45">
            <v>-0.24799545515197341</v>
          </cell>
          <cell r="Z45">
            <v>-0.18523016076815449</v>
          </cell>
          <cell r="AA45">
            <v>-0.11689671754501579</v>
          </cell>
          <cell r="AB45">
            <v>-8.5767365988490635E-2</v>
          </cell>
          <cell r="AC45">
            <v>-8.8024529731964438E-2</v>
          </cell>
          <cell r="AD45">
            <v>-5.1212035236559643E-2</v>
          </cell>
        </row>
        <row r="46">
          <cell r="C46">
            <v>1.2180646306424237</v>
          </cell>
          <cell r="S46">
            <v>-3.7353768362141243E-2</v>
          </cell>
          <cell r="V46">
            <v>-0.16490892417715086</v>
          </cell>
          <cell r="W46">
            <v>-0.24476271849575948</v>
          </cell>
          <cell r="X46">
            <v>-0.1974537602785795</v>
          </cell>
          <cell r="Y46">
            <v>-0.24799545515197341</v>
          </cell>
          <cell r="Z46">
            <v>-0.18643010221101219</v>
          </cell>
          <cell r="AA46">
            <v>-0.11689671754501579</v>
          </cell>
          <cell r="AB46">
            <v>-8.5767365988490635E-2</v>
          </cell>
          <cell r="AC46">
            <v>-8.8549920760697357E-2</v>
          </cell>
          <cell r="AD46">
            <v>-5.1212035236559643E-2</v>
          </cell>
        </row>
        <row r="47">
          <cell r="C47">
            <v>1.2451327335455886</v>
          </cell>
          <cell r="S47">
            <v>-3.7353768362141243E-2</v>
          </cell>
          <cell r="V47">
            <v>-0.16490892417715086</v>
          </cell>
          <cell r="W47">
            <v>-0.24914701787091051</v>
          </cell>
          <cell r="X47">
            <v>-0.1974537602785795</v>
          </cell>
          <cell r="Y47">
            <v>-0.24799545515197341</v>
          </cell>
          <cell r="Z47">
            <v>-0.18763244353675551</v>
          </cell>
          <cell r="AA47">
            <v>-0.11689671754501579</v>
          </cell>
          <cell r="AB47">
            <v>-8.5767365988490635E-2</v>
          </cell>
          <cell r="AC47">
            <v>-8.907531178943015E-2</v>
          </cell>
          <cell r="AD47">
            <v>-5.1212035236559643E-2</v>
          </cell>
        </row>
        <row r="48">
          <cell r="C48">
            <v>1.2722008364487536</v>
          </cell>
          <cell r="S48">
            <v>-3.7353768362141243E-2</v>
          </cell>
          <cell r="V48">
            <v>-0.16490892417715086</v>
          </cell>
          <cell r="W48">
            <v>-0.25352987882763134</v>
          </cell>
          <cell r="X48">
            <v>-0.1974537602785795</v>
          </cell>
          <cell r="Y48">
            <v>-0.24799545515197341</v>
          </cell>
          <cell r="Z48">
            <v>-0.18883238497961302</v>
          </cell>
          <cell r="AA48">
            <v>-0.11689671754501579</v>
          </cell>
          <cell r="AB48">
            <v>-8.5767365988490635E-2</v>
          </cell>
          <cell r="AC48">
            <v>-8.9273410046165458E-2</v>
          </cell>
          <cell r="AD48">
            <v>-5.1212035236559643E-2</v>
          </cell>
        </row>
        <row r="49">
          <cell r="C49">
            <v>1.2992689393519186</v>
          </cell>
          <cell r="S49">
            <v>-3.7353768362141243E-2</v>
          </cell>
          <cell r="V49">
            <v>-0.16490892417715086</v>
          </cell>
          <cell r="W49">
            <v>-0.2579141782027824</v>
          </cell>
          <cell r="X49">
            <v>-0.1974537602785795</v>
          </cell>
          <cell r="Y49">
            <v>-0.24799545515197341</v>
          </cell>
          <cell r="Z49">
            <v>-0.19003472630535634</v>
          </cell>
          <cell r="AA49">
            <v>-0.11689671754501579</v>
          </cell>
          <cell r="AB49">
            <v>-8.5767365988490635E-2</v>
          </cell>
          <cell r="AC49">
            <v>-8.9273410046165458E-2</v>
          </cell>
          <cell r="AD49">
            <v>-5.1212035236559643E-2</v>
          </cell>
        </row>
        <row r="50">
          <cell r="C50">
            <v>1.3263370422550835</v>
          </cell>
          <cell r="S50">
            <v>-3.7353768362141243E-2</v>
          </cell>
          <cell r="V50">
            <v>-0.16490892417715086</v>
          </cell>
          <cell r="W50">
            <v>-0.2622984775779334</v>
          </cell>
          <cell r="X50">
            <v>-0.1974537602785795</v>
          </cell>
          <cell r="Y50">
            <v>-0.24799545515197341</v>
          </cell>
          <cell r="Z50">
            <v>-0.19123466774821385</v>
          </cell>
          <cell r="AA50">
            <v>-0.11689671754501579</v>
          </cell>
          <cell r="AB50">
            <v>-8.5767365988490635E-2</v>
          </cell>
          <cell r="AC50">
            <v>-8.9273410046165458E-2</v>
          </cell>
          <cell r="AD50">
            <v>-5.1212035236559643E-2</v>
          </cell>
        </row>
        <row r="51">
          <cell r="C51">
            <v>1.3534051451582485</v>
          </cell>
          <cell r="S51">
            <v>-3.7353768362141243E-2</v>
          </cell>
          <cell r="V51">
            <v>-0.16490892417715086</v>
          </cell>
          <cell r="W51">
            <v>-0.26436260802522404</v>
          </cell>
          <cell r="X51">
            <v>-0.1974537602785795</v>
          </cell>
          <cell r="Y51">
            <v>-0.24799545515197341</v>
          </cell>
          <cell r="Z51">
            <v>-0.19243700907395717</v>
          </cell>
          <cell r="AA51">
            <v>-0.11689671754501579</v>
          </cell>
          <cell r="AB51">
            <v>-8.5767365988490635E-2</v>
          </cell>
          <cell r="AC51">
            <v>-8.9273410046165458E-2</v>
          </cell>
          <cell r="AD51">
            <v>-5.1212035236559643E-2</v>
          </cell>
        </row>
        <row r="52">
          <cell r="C52">
            <v>1.3804732480614135</v>
          </cell>
          <cell r="S52">
            <v>-3.7353768362141243E-2</v>
          </cell>
          <cell r="V52">
            <v>-0.16490892417715086</v>
          </cell>
          <cell r="W52">
            <v>-0.26436260802522404</v>
          </cell>
          <cell r="X52">
            <v>-0.1974537602785795</v>
          </cell>
          <cell r="Y52">
            <v>-0.24799545515197341</v>
          </cell>
          <cell r="Z52">
            <v>-0.19363695051681487</v>
          </cell>
          <cell r="AA52">
            <v>-0.11689671754501579</v>
          </cell>
          <cell r="AB52">
            <v>-8.5767365988490635E-2</v>
          </cell>
          <cell r="AC52">
            <v>-8.9273410046165458E-2</v>
          </cell>
          <cell r="AD52">
            <v>-5.1212035236559643E-2</v>
          </cell>
        </row>
        <row r="53">
          <cell r="C53">
            <v>1.4075413509645784</v>
          </cell>
          <cell r="S53">
            <v>-3.7353768362141243E-2</v>
          </cell>
          <cell r="V53">
            <v>-0.16490892417715086</v>
          </cell>
          <cell r="W53">
            <v>-0.26436260802522404</v>
          </cell>
          <cell r="X53">
            <v>-0.1974537602785795</v>
          </cell>
          <cell r="Y53">
            <v>-0.24799545515197341</v>
          </cell>
          <cell r="Z53">
            <v>-0.19483689195967238</v>
          </cell>
          <cell r="AA53">
            <v>-0.11689671754501579</v>
          </cell>
          <cell r="AB53">
            <v>-8.5767365988490635E-2</v>
          </cell>
          <cell r="AC53">
            <v>-8.9273410046165458E-2</v>
          </cell>
          <cell r="AD53">
            <v>-5.1212035236559643E-2</v>
          </cell>
        </row>
        <row r="54">
          <cell r="C54">
            <v>1.4346094538677434</v>
          </cell>
          <cell r="S54">
            <v>-3.7353768362141243E-2</v>
          </cell>
          <cell r="V54">
            <v>-0.16490892417715086</v>
          </cell>
          <cell r="W54">
            <v>-0.26436260802522404</v>
          </cell>
          <cell r="X54">
            <v>-0.1974537602785795</v>
          </cell>
          <cell r="Y54">
            <v>-0.24799545515197341</v>
          </cell>
          <cell r="Z54">
            <v>-0.1960392332854157</v>
          </cell>
          <cell r="AA54">
            <v>-0.11689671754501579</v>
          </cell>
          <cell r="AB54">
            <v>-8.5767365988490635E-2</v>
          </cell>
          <cell r="AC54">
            <v>-8.9273410046165458E-2</v>
          </cell>
          <cell r="AD54">
            <v>-5.1212035236559643E-2</v>
          </cell>
        </row>
        <row r="55">
          <cell r="C55">
            <v>1.4616775567709084</v>
          </cell>
          <cell r="S55">
            <v>-3.7353768362141243E-2</v>
          </cell>
          <cell r="V55">
            <v>-0.16490892417715086</v>
          </cell>
          <cell r="W55">
            <v>-0.26436260802522404</v>
          </cell>
          <cell r="X55">
            <v>-0.1974537602785795</v>
          </cell>
          <cell r="Y55">
            <v>-0.24799545515197341</v>
          </cell>
          <cell r="Z55">
            <v>-0.19723917472827321</v>
          </cell>
          <cell r="AA55">
            <v>-0.11689671754501579</v>
          </cell>
          <cell r="AB55">
            <v>-8.5767365988490635E-2</v>
          </cell>
          <cell r="AC55">
            <v>-8.9273410046165458E-2</v>
          </cell>
          <cell r="AD55">
            <v>-5.1212035236559643E-2</v>
          </cell>
        </row>
        <row r="56">
          <cell r="C56">
            <v>1.4887456596740734</v>
          </cell>
          <cell r="S56">
            <v>-3.7353768362141243E-2</v>
          </cell>
          <cell r="V56">
            <v>-0.16490892417715086</v>
          </cell>
          <cell r="W56">
            <v>-0.26436260802522404</v>
          </cell>
          <cell r="X56">
            <v>-0.1974537602785795</v>
          </cell>
          <cell r="Y56">
            <v>-0.24799545515197341</v>
          </cell>
          <cell r="Z56">
            <v>-0.19844151605401653</v>
          </cell>
          <cell r="AA56">
            <v>-0.11689671754501579</v>
          </cell>
          <cell r="AB56">
            <v>-8.5767365988490635E-2</v>
          </cell>
          <cell r="AC56">
            <v>-8.9273410046165458E-2</v>
          </cell>
          <cell r="AD56">
            <v>-5.1212035236559643E-2</v>
          </cell>
        </row>
        <row r="57">
          <cell r="C57">
            <v>1.5158137625772383</v>
          </cell>
          <cell r="S57">
            <v>-3.7353768362141243E-2</v>
          </cell>
          <cell r="V57">
            <v>-0.16490892417715086</v>
          </cell>
          <cell r="W57">
            <v>-0.26436260802522404</v>
          </cell>
          <cell r="X57">
            <v>-0.1974537602785795</v>
          </cell>
          <cell r="Y57">
            <v>-0.24799545515197341</v>
          </cell>
          <cell r="Z57">
            <v>-0.19964145749687423</v>
          </cell>
          <cell r="AA57">
            <v>-0.11689671754501579</v>
          </cell>
          <cell r="AB57">
            <v>-8.5767365988490635E-2</v>
          </cell>
          <cell r="AC57">
            <v>-8.9273410046165458E-2</v>
          </cell>
          <cell r="AD57">
            <v>-5.1212035236559643E-2</v>
          </cell>
        </row>
        <row r="58">
          <cell r="C58">
            <v>1.5428818654804033</v>
          </cell>
          <cell r="S58">
            <v>-3.7353768362141243E-2</v>
          </cell>
          <cell r="V58">
            <v>-0.16490892417715086</v>
          </cell>
          <cell r="W58">
            <v>-0.26436260802522404</v>
          </cell>
          <cell r="X58">
            <v>-0.1974537602785795</v>
          </cell>
          <cell r="Y58">
            <v>-0.24799545515197341</v>
          </cell>
          <cell r="Z58">
            <v>-0.20084379882261755</v>
          </cell>
          <cell r="AA58">
            <v>-0.11689671754501579</v>
          </cell>
          <cell r="AB58">
            <v>-8.5767365988490635E-2</v>
          </cell>
          <cell r="AC58">
            <v>-8.9273410046165458E-2</v>
          </cell>
          <cell r="AD58">
            <v>-5.1212035236559643E-2</v>
          </cell>
        </row>
        <row r="59">
          <cell r="C59">
            <v>1.5699499683835683</v>
          </cell>
          <cell r="S59">
            <v>-3.7353768362141243E-2</v>
          </cell>
          <cell r="V59">
            <v>-0.16490892417715086</v>
          </cell>
          <cell r="W59">
            <v>-0.26436260802522404</v>
          </cell>
          <cell r="X59">
            <v>-0.1974537602785795</v>
          </cell>
          <cell r="Y59">
            <v>-0.24799545515197341</v>
          </cell>
          <cell r="Z59">
            <v>-0.20204374026547506</v>
          </cell>
          <cell r="AA59">
            <v>-0.11689671754501579</v>
          </cell>
          <cell r="AB59">
            <v>-8.5767365988490635E-2</v>
          </cell>
          <cell r="AC59">
            <v>-8.9273410046165458E-2</v>
          </cell>
          <cell r="AD59">
            <v>-5.1212035236559643E-2</v>
          </cell>
        </row>
        <row r="60">
          <cell r="C60">
            <v>1.5970180712867332</v>
          </cell>
          <cell r="S60">
            <v>-3.7353768362141243E-2</v>
          </cell>
          <cell r="V60">
            <v>-0.16490892417715086</v>
          </cell>
          <cell r="W60">
            <v>-0.26436260802522404</v>
          </cell>
          <cell r="X60">
            <v>-0.1974537602785795</v>
          </cell>
          <cell r="Y60">
            <v>-0.24799545515197341</v>
          </cell>
          <cell r="Z60">
            <v>-0.20324608159121837</v>
          </cell>
          <cell r="AA60">
            <v>-0.11689671754501579</v>
          </cell>
          <cell r="AB60">
            <v>-8.5767365988490635E-2</v>
          </cell>
          <cell r="AC60">
            <v>-8.9273410046165458E-2</v>
          </cell>
          <cell r="AD60">
            <v>-5.1212035236559643E-2</v>
          </cell>
        </row>
        <row r="61">
          <cell r="C61">
            <v>1.6240861741898982</v>
          </cell>
          <cell r="S61">
            <v>-3.7353768362141243E-2</v>
          </cell>
          <cell r="V61">
            <v>-0.16490892417715086</v>
          </cell>
          <cell r="W61">
            <v>-0.26436260802522404</v>
          </cell>
          <cell r="X61">
            <v>-0.1974537602785795</v>
          </cell>
          <cell r="Y61">
            <v>-0.24799545515197341</v>
          </cell>
          <cell r="Z61">
            <v>-0.20444602303407589</v>
          </cell>
          <cell r="AA61">
            <v>-0.11689671754501579</v>
          </cell>
          <cell r="AB61">
            <v>-8.5767365988490635E-2</v>
          </cell>
          <cell r="AC61">
            <v>-8.9273410046165458E-2</v>
          </cell>
          <cell r="AD61">
            <v>-5.1212035236559643E-2</v>
          </cell>
        </row>
        <row r="62">
          <cell r="C62">
            <v>1.6511542770930632</v>
          </cell>
          <cell r="S62">
            <v>-3.7353768362141243E-2</v>
          </cell>
          <cell r="V62">
            <v>-0.16490892417715086</v>
          </cell>
          <cell r="W62">
            <v>-0.26436260802522404</v>
          </cell>
          <cell r="X62">
            <v>-0.1974537602785795</v>
          </cell>
          <cell r="Y62">
            <v>-0.24799545515197341</v>
          </cell>
          <cell r="Z62">
            <v>-0.20564596447693359</v>
          </cell>
          <cell r="AA62">
            <v>-0.11689671754501579</v>
          </cell>
          <cell r="AB62">
            <v>-8.5767365988490635E-2</v>
          </cell>
          <cell r="AC62">
            <v>-8.9273410046165458E-2</v>
          </cell>
          <cell r="AD62">
            <v>-5.1212035236559643E-2</v>
          </cell>
        </row>
        <row r="63">
          <cell r="C63">
            <v>1.6782223799962281</v>
          </cell>
          <cell r="S63">
            <v>-3.7353768362141243E-2</v>
          </cell>
          <cell r="V63">
            <v>-0.16490892417715086</v>
          </cell>
          <cell r="W63">
            <v>-0.26436260802522404</v>
          </cell>
          <cell r="X63">
            <v>-0.1974537602785795</v>
          </cell>
          <cell r="Y63">
            <v>-0.24799545515197341</v>
          </cell>
          <cell r="Z63">
            <v>-0.20684830580267691</v>
          </cell>
          <cell r="AA63">
            <v>-0.11689671754501579</v>
          </cell>
          <cell r="AB63">
            <v>-8.5767365988490635E-2</v>
          </cell>
          <cell r="AC63">
            <v>-8.9273410046165458E-2</v>
          </cell>
          <cell r="AD63">
            <v>-5.1212035236559643E-2</v>
          </cell>
        </row>
        <row r="64">
          <cell r="C64">
            <v>1.7052904828993931</v>
          </cell>
          <cell r="S64">
            <v>-3.7353768362141243E-2</v>
          </cell>
          <cell r="V64">
            <v>-0.16490892417715086</v>
          </cell>
          <cell r="W64">
            <v>-0.26436260802522404</v>
          </cell>
          <cell r="X64">
            <v>-0.1974537602785795</v>
          </cell>
          <cell r="Y64">
            <v>-0.24799545515197341</v>
          </cell>
          <cell r="Z64">
            <v>-0.20804824724553442</v>
          </cell>
          <cell r="AA64">
            <v>-0.11689671754501579</v>
          </cell>
          <cell r="AB64">
            <v>-8.5767365988490635E-2</v>
          </cell>
          <cell r="AC64">
            <v>-8.9273410046165458E-2</v>
          </cell>
          <cell r="AD64">
            <v>-5.1212035236559643E-2</v>
          </cell>
        </row>
        <row r="65">
          <cell r="C65">
            <v>1.7323585858025581</v>
          </cell>
          <cell r="S65">
            <v>-3.7353768362141243E-2</v>
          </cell>
          <cell r="V65">
            <v>-0.16490892417715086</v>
          </cell>
          <cell r="W65">
            <v>-0.26436260802522404</v>
          </cell>
          <cell r="X65">
            <v>-0.1974537602785795</v>
          </cell>
          <cell r="Y65">
            <v>-0.24799545515197341</v>
          </cell>
          <cell r="Z65">
            <v>-0.20925058857127773</v>
          </cell>
          <cell r="AA65">
            <v>-0.11689671754501579</v>
          </cell>
          <cell r="AB65">
            <v>-8.5767365988490635E-2</v>
          </cell>
          <cell r="AC65">
            <v>-8.9273410046165458E-2</v>
          </cell>
          <cell r="AD65">
            <v>-5.1212035236559643E-2</v>
          </cell>
        </row>
        <row r="66">
          <cell r="C66">
            <v>1.7594266887057231</v>
          </cell>
          <cell r="S66">
            <v>-3.7353768362141243E-2</v>
          </cell>
          <cell r="V66">
            <v>-0.16490892417715086</v>
          </cell>
          <cell r="W66">
            <v>-0.26436260802522404</v>
          </cell>
          <cell r="X66">
            <v>-0.1974537602785795</v>
          </cell>
          <cell r="Y66">
            <v>-0.24799545515197341</v>
          </cell>
          <cell r="Z66">
            <v>-0.21045053001413525</v>
          </cell>
          <cell r="AA66">
            <v>-0.11689671754501579</v>
          </cell>
          <cell r="AB66">
            <v>-8.5767365988490635E-2</v>
          </cell>
          <cell r="AC66">
            <v>-8.9273410046165458E-2</v>
          </cell>
          <cell r="AD66">
            <v>-5.1212035236559643E-2</v>
          </cell>
        </row>
        <row r="67">
          <cell r="C67">
            <v>1.786494791608888</v>
          </cell>
          <cell r="S67">
            <v>-3.7353768362141243E-2</v>
          </cell>
          <cell r="V67">
            <v>-0.16490892417715086</v>
          </cell>
          <cell r="W67">
            <v>-0.26436260802522404</v>
          </cell>
          <cell r="X67">
            <v>-0.1974537602785795</v>
          </cell>
          <cell r="Y67">
            <v>-0.24799545515197341</v>
          </cell>
          <cell r="Z67">
            <v>-0.21165287133987856</v>
          </cell>
          <cell r="AA67">
            <v>-0.11689671754501579</v>
          </cell>
          <cell r="AB67">
            <v>-8.5767365988490635E-2</v>
          </cell>
          <cell r="AC67">
            <v>-8.9273410046165458E-2</v>
          </cell>
          <cell r="AD67">
            <v>-5.1212035236559643E-2</v>
          </cell>
        </row>
        <row r="68">
          <cell r="C68">
            <v>1.813562894512053</v>
          </cell>
          <cell r="S68">
            <v>-3.7353768362141243E-2</v>
          </cell>
          <cell r="V68">
            <v>-0.16490892417715086</v>
          </cell>
          <cell r="W68">
            <v>-0.26436260802522404</v>
          </cell>
          <cell r="X68">
            <v>-0.1974537602785795</v>
          </cell>
          <cell r="Y68">
            <v>-0.24799545515197341</v>
          </cell>
          <cell r="Z68">
            <v>-0.21285281278273627</v>
          </cell>
          <cell r="AA68">
            <v>-0.11689671754501579</v>
          </cell>
          <cell r="AB68">
            <v>-8.5767365988490635E-2</v>
          </cell>
          <cell r="AC68">
            <v>-8.9273410046165458E-2</v>
          </cell>
          <cell r="AD68">
            <v>-5.1212035236559643E-2</v>
          </cell>
        </row>
        <row r="69">
          <cell r="C69">
            <v>1.840630997415218</v>
          </cell>
          <cell r="S69">
            <v>-3.7353768362141243E-2</v>
          </cell>
          <cell r="V69">
            <v>-0.16490892417715086</v>
          </cell>
          <cell r="W69">
            <v>-0.26436260802522404</v>
          </cell>
          <cell r="X69">
            <v>-0.1974537602785795</v>
          </cell>
          <cell r="Y69">
            <v>-0.24799545515197341</v>
          </cell>
          <cell r="Z69">
            <v>-0.21405515410847958</v>
          </cell>
          <cell r="AA69">
            <v>-0.11689671754501579</v>
          </cell>
          <cell r="AB69">
            <v>-8.5767365988490635E-2</v>
          </cell>
          <cell r="AC69">
            <v>-8.9273410046165458E-2</v>
          </cell>
          <cell r="AD69">
            <v>-5.1212035236559643E-2</v>
          </cell>
        </row>
        <row r="70">
          <cell r="C70">
            <v>1.8676991003183829</v>
          </cell>
          <cell r="S70">
            <v>-3.7353768362141243E-2</v>
          </cell>
          <cell r="V70">
            <v>-0.16490892417715086</v>
          </cell>
          <cell r="W70">
            <v>-0.26436260802522404</v>
          </cell>
          <cell r="X70">
            <v>-0.1974537602785795</v>
          </cell>
          <cell r="Y70">
            <v>-0.24799545515197341</v>
          </cell>
          <cell r="Z70">
            <v>-0.21525509555133709</v>
          </cell>
          <cell r="AA70">
            <v>-0.11689671754501579</v>
          </cell>
          <cell r="AB70">
            <v>-8.5767365988490635E-2</v>
          </cell>
          <cell r="AC70">
            <v>-8.9273410046165458E-2</v>
          </cell>
          <cell r="AD70">
            <v>-5.1212035236559643E-2</v>
          </cell>
        </row>
        <row r="71">
          <cell r="C71">
            <v>1.8947672032215479</v>
          </cell>
          <cell r="S71">
            <v>-3.7353768362141243E-2</v>
          </cell>
          <cell r="V71">
            <v>-0.16490892417715086</v>
          </cell>
          <cell r="W71">
            <v>-0.26436260802522404</v>
          </cell>
          <cell r="X71">
            <v>-0.1974537602785795</v>
          </cell>
          <cell r="Y71">
            <v>-0.24799545515197341</v>
          </cell>
          <cell r="Z71">
            <v>-0.2164550369941948</v>
          </cell>
          <cell r="AA71">
            <v>-0.11689671754501579</v>
          </cell>
          <cell r="AB71">
            <v>-8.5767365988490635E-2</v>
          </cell>
          <cell r="AC71">
            <v>-8.9273410046165458E-2</v>
          </cell>
          <cell r="AD71">
            <v>-5.1212035236559643E-2</v>
          </cell>
        </row>
        <row r="72">
          <cell r="C72">
            <v>1.9218353061247129</v>
          </cell>
          <cell r="S72">
            <v>-3.7353768362141243E-2</v>
          </cell>
          <cell r="V72">
            <v>-0.16490892417715086</v>
          </cell>
          <cell r="W72">
            <v>-0.26436260802522404</v>
          </cell>
          <cell r="X72">
            <v>-0.1974537602785795</v>
          </cell>
          <cell r="Y72">
            <v>-0.24799545515197341</v>
          </cell>
          <cell r="Z72">
            <v>-0.21765737831993792</v>
          </cell>
          <cell r="AA72">
            <v>-0.11689671754501579</v>
          </cell>
          <cell r="AB72">
            <v>-8.5767365988490635E-2</v>
          </cell>
          <cell r="AC72">
            <v>-8.9273410046165458E-2</v>
          </cell>
          <cell r="AD72">
            <v>-5.1212035236559643E-2</v>
          </cell>
        </row>
        <row r="73">
          <cell r="C73">
            <v>1.9489034090278778</v>
          </cell>
          <cell r="S73">
            <v>-3.7353768362141243E-2</v>
          </cell>
          <cell r="V73">
            <v>-0.16490892417715086</v>
          </cell>
          <cell r="W73">
            <v>-0.26436260802522404</v>
          </cell>
          <cell r="X73">
            <v>-0.1974537602785795</v>
          </cell>
          <cell r="Y73">
            <v>-0.24799545515197341</v>
          </cell>
          <cell r="Z73">
            <v>-0.21885731976279563</v>
          </cell>
          <cell r="AA73">
            <v>-0.11689671754501579</v>
          </cell>
          <cell r="AB73">
            <v>-8.5767365988490635E-2</v>
          </cell>
          <cell r="AC73">
            <v>-8.9273410046165458E-2</v>
          </cell>
          <cell r="AD73">
            <v>-5.1212035236559643E-2</v>
          </cell>
        </row>
        <row r="74">
          <cell r="C74">
            <v>1.9759715119310428</v>
          </cell>
          <cell r="S74">
            <v>-3.7353768362141243E-2</v>
          </cell>
          <cell r="V74">
            <v>-0.16490892417715086</v>
          </cell>
          <cell r="W74">
            <v>-0.26436260802522404</v>
          </cell>
          <cell r="X74">
            <v>-0.1974537602785795</v>
          </cell>
          <cell r="Y74">
            <v>-0.24799545515197341</v>
          </cell>
          <cell r="Z74">
            <v>-0.22005966108853894</v>
          </cell>
          <cell r="AA74">
            <v>-0.11689671754501579</v>
          </cell>
          <cell r="AB74">
            <v>-8.5767365988490635E-2</v>
          </cell>
          <cell r="AC74">
            <v>-8.9273410046165458E-2</v>
          </cell>
          <cell r="AD74">
            <v>-5.1212035236559643E-2</v>
          </cell>
        </row>
        <row r="75">
          <cell r="C75">
            <v>2.0030396148342078</v>
          </cell>
          <cell r="S75">
            <v>-3.7353768362141243E-2</v>
          </cell>
          <cell r="V75">
            <v>-0.16490892417715086</v>
          </cell>
          <cell r="W75">
            <v>-0.26436260802522404</v>
          </cell>
          <cell r="X75">
            <v>-0.1974537602785795</v>
          </cell>
          <cell r="Y75">
            <v>-0.24799545515197341</v>
          </cell>
          <cell r="Z75">
            <v>-0.22125960253139645</v>
          </cell>
          <cell r="AA75">
            <v>-0.11689671754501579</v>
          </cell>
          <cell r="AB75">
            <v>-8.5767365988490635E-2</v>
          </cell>
          <cell r="AC75">
            <v>-8.9273410046165458E-2</v>
          </cell>
          <cell r="AD75">
            <v>-5.1212035236559643E-2</v>
          </cell>
        </row>
        <row r="76">
          <cell r="C76">
            <v>2.0301077177373728</v>
          </cell>
          <cell r="S76">
            <v>-3.7353768362141243E-2</v>
          </cell>
          <cell r="V76">
            <v>-0.16490892417715086</v>
          </cell>
          <cell r="W76">
            <v>-0.26436260802522404</v>
          </cell>
          <cell r="X76">
            <v>-0.1974537602785795</v>
          </cell>
          <cell r="Y76">
            <v>-0.24799545515197341</v>
          </cell>
          <cell r="Z76">
            <v>-0.22246194385713977</v>
          </cell>
          <cell r="AA76">
            <v>-0.11689671754501579</v>
          </cell>
          <cell r="AB76">
            <v>-8.5767365988490635E-2</v>
          </cell>
          <cell r="AC76">
            <v>-8.9273410046165458E-2</v>
          </cell>
          <cell r="AD76">
            <v>-5.1212035236559643E-2</v>
          </cell>
        </row>
        <row r="77">
          <cell r="C77">
            <v>2.0571758206405377</v>
          </cell>
          <cell r="S77">
            <v>-3.7353768362141243E-2</v>
          </cell>
          <cell r="V77">
            <v>-0.16490892417715086</v>
          </cell>
          <cell r="W77">
            <v>-0.26436260802522404</v>
          </cell>
          <cell r="X77">
            <v>-0.1974537602785795</v>
          </cell>
          <cell r="Y77">
            <v>-0.24799545515197341</v>
          </cell>
          <cell r="Z77">
            <v>-0.22366188529999748</v>
          </cell>
          <cell r="AA77">
            <v>-0.11689671754501579</v>
          </cell>
          <cell r="AB77">
            <v>-8.5767365988490635E-2</v>
          </cell>
          <cell r="AC77">
            <v>-8.9273410046165458E-2</v>
          </cell>
          <cell r="AD77">
            <v>-5.1212035236559643E-2</v>
          </cell>
        </row>
        <row r="78">
          <cell r="C78">
            <v>2.0842439235437027</v>
          </cell>
          <cell r="S78">
            <v>-3.7353768362141243E-2</v>
          </cell>
          <cell r="V78">
            <v>-0.16490892417715086</v>
          </cell>
          <cell r="W78">
            <v>-0.26436260802522404</v>
          </cell>
          <cell r="X78">
            <v>-0.1974537602785795</v>
          </cell>
          <cell r="Y78">
            <v>-0.24799545515197341</v>
          </cell>
          <cell r="Z78">
            <v>-0.22486182674285499</v>
          </cell>
          <cell r="AA78">
            <v>-0.11689671754501579</v>
          </cell>
          <cell r="AB78">
            <v>-8.5767365988490635E-2</v>
          </cell>
          <cell r="AC78">
            <v>-8.9273410046165458E-2</v>
          </cell>
          <cell r="AD78">
            <v>-5.1212035236559643E-2</v>
          </cell>
        </row>
        <row r="79">
          <cell r="C79">
            <v>2.1113120264468677</v>
          </cell>
          <cell r="S79">
            <v>-3.7353768362141243E-2</v>
          </cell>
          <cell r="V79">
            <v>-0.16490892417715086</v>
          </cell>
          <cell r="W79">
            <v>-0.26436260802522404</v>
          </cell>
          <cell r="X79">
            <v>-0.1974537602785795</v>
          </cell>
          <cell r="Y79">
            <v>-0.24799545515197341</v>
          </cell>
          <cell r="Z79">
            <v>-0.2260641680685983</v>
          </cell>
          <cell r="AA79">
            <v>-0.11689671754501579</v>
          </cell>
          <cell r="AB79">
            <v>-8.5767365988490635E-2</v>
          </cell>
          <cell r="AC79">
            <v>-8.9273410046165458E-2</v>
          </cell>
          <cell r="AD79">
            <v>-5.1212035236559643E-2</v>
          </cell>
        </row>
        <row r="80">
          <cell r="C80">
            <v>2.1383801293500326</v>
          </cell>
          <cell r="S80">
            <v>-3.7353768362141243E-2</v>
          </cell>
          <cell r="V80">
            <v>-0.16490892417715086</v>
          </cell>
          <cell r="W80">
            <v>-0.26436260802522404</v>
          </cell>
          <cell r="X80">
            <v>-0.1974537602785795</v>
          </cell>
          <cell r="Y80">
            <v>-0.24799545515197341</v>
          </cell>
          <cell r="Z80">
            <v>-0.22726410951145581</v>
          </cell>
          <cell r="AA80">
            <v>-0.11689671754501579</v>
          </cell>
          <cell r="AB80">
            <v>-8.5767365988490635E-2</v>
          </cell>
          <cell r="AC80">
            <v>-8.9273410046165458E-2</v>
          </cell>
          <cell r="AD80">
            <v>-5.1212035236559643E-2</v>
          </cell>
        </row>
        <row r="81">
          <cell r="C81">
            <v>2.1654482322531976</v>
          </cell>
          <cell r="S81">
            <v>-3.7353768362141243E-2</v>
          </cell>
          <cell r="V81">
            <v>-0.16490892417715086</v>
          </cell>
          <cell r="W81">
            <v>-0.26436260802522404</v>
          </cell>
          <cell r="X81">
            <v>-0.1974537602785795</v>
          </cell>
          <cell r="Y81">
            <v>-0.24799545515197341</v>
          </cell>
          <cell r="Z81">
            <v>-0.22846645083719913</v>
          </cell>
          <cell r="AA81">
            <v>-0.11689671754501579</v>
          </cell>
          <cell r="AB81">
            <v>-8.5767365988490635E-2</v>
          </cell>
          <cell r="AC81">
            <v>-8.9273410046165458E-2</v>
          </cell>
          <cell r="AD81">
            <v>-5.1212035236559643E-2</v>
          </cell>
        </row>
        <row r="82">
          <cell r="C82">
            <v>2.1925163351563626</v>
          </cell>
          <cell r="S82">
            <v>-3.7353768362141243E-2</v>
          </cell>
          <cell r="V82">
            <v>-0.16490892417715086</v>
          </cell>
          <cell r="W82">
            <v>-0.26436260802522404</v>
          </cell>
          <cell r="X82">
            <v>-0.1974537602785795</v>
          </cell>
          <cell r="Y82">
            <v>-0.24799545515197341</v>
          </cell>
          <cell r="Z82">
            <v>-0.22966639228005684</v>
          </cell>
          <cell r="AA82">
            <v>-0.11689671754501579</v>
          </cell>
          <cell r="AB82">
            <v>-8.5767365988490635E-2</v>
          </cell>
          <cell r="AC82">
            <v>-8.9273410046165458E-2</v>
          </cell>
          <cell r="AD82">
            <v>-5.1212035236559643E-2</v>
          </cell>
        </row>
        <row r="83">
          <cell r="C83">
            <v>2.2195844380595275</v>
          </cell>
          <cell r="S83">
            <v>-3.7353768362141243E-2</v>
          </cell>
          <cell r="V83">
            <v>-0.16490892417715086</v>
          </cell>
          <cell r="W83">
            <v>-0.26436260802522404</v>
          </cell>
          <cell r="X83">
            <v>-0.1974537602785795</v>
          </cell>
          <cell r="Y83">
            <v>-0.24799545515197341</v>
          </cell>
          <cell r="Z83">
            <v>-0.23086873360580015</v>
          </cell>
          <cell r="AA83">
            <v>-0.11689671754501579</v>
          </cell>
          <cell r="AB83">
            <v>-8.5767365988490635E-2</v>
          </cell>
          <cell r="AC83">
            <v>-8.9273410046165458E-2</v>
          </cell>
          <cell r="AD83">
            <v>-5.1212035236559643E-2</v>
          </cell>
        </row>
        <row r="84">
          <cell r="C84">
            <v>2.2466525409626925</v>
          </cell>
          <cell r="S84">
            <v>-3.7353768362141243E-2</v>
          </cell>
          <cell r="V84">
            <v>-0.16490892417715086</v>
          </cell>
          <cell r="W84">
            <v>-0.26436260802522404</v>
          </cell>
          <cell r="X84">
            <v>-0.1974537602785795</v>
          </cell>
          <cell r="Y84">
            <v>-0.24799545515197341</v>
          </cell>
          <cell r="Z84">
            <v>-0.23206867504865766</v>
          </cell>
          <cell r="AA84">
            <v>-0.11689671754501579</v>
          </cell>
          <cell r="AB84">
            <v>-8.5767365988490635E-2</v>
          </cell>
          <cell r="AC84">
            <v>-8.9273410046165458E-2</v>
          </cell>
          <cell r="AD84">
            <v>-5.1212035236559643E-2</v>
          </cell>
        </row>
        <row r="85">
          <cell r="C85">
            <v>2.2737206438658575</v>
          </cell>
          <cell r="S85">
            <v>-3.7353768362141243E-2</v>
          </cell>
          <cell r="V85">
            <v>-0.16490892417715086</v>
          </cell>
          <cell r="W85">
            <v>-0.26436260802522404</v>
          </cell>
          <cell r="X85">
            <v>-0.1974537602785795</v>
          </cell>
          <cell r="Y85">
            <v>-0.24799545515197341</v>
          </cell>
          <cell r="Z85">
            <v>-0.23327101637440098</v>
          </cell>
          <cell r="AA85">
            <v>-0.11689671754501579</v>
          </cell>
          <cell r="AB85">
            <v>-8.5767365988490635E-2</v>
          </cell>
          <cell r="AC85">
            <v>-8.9273410046165458E-2</v>
          </cell>
          <cell r="AD85">
            <v>-5.1212035236559643E-2</v>
          </cell>
        </row>
        <row r="86">
          <cell r="C86">
            <v>2.3007887467690225</v>
          </cell>
          <cell r="S86">
            <v>-3.7353768362141243E-2</v>
          </cell>
          <cell r="V86">
            <v>-0.16490892417715086</v>
          </cell>
          <cell r="W86">
            <v>-0.26436260802522404</v>
          </cell>
          <cell r="X86">
            <v>-0.1974537602785795</v>
          </cell>
          <cell r="Y86">
            <v>-0.24799545515197341</v>
          </cell>
          <cell r="Z86">
            <v>-0.23447095781725857</v>
          </cell>
          <cell r="AA86">
            <v>-0.11689671754501579</v>
          </cell>
          <cell r="AB86">
            <v>-8.5767365988490635E-2</v>
          </cell>
          <cell r="AC86">
            <v>-8.9273410046165458E-2</v>
          </cell>
          <cell r="AD86">
            <v>-5.1212035236559643E-2</v>
          </cell>
        </row>
        <row r="87">
          <cell r="C87">
            <v>2.3278568496721874</v>
          </cell>
          <cell r="S87">
            <v>-3.7353768362141243E-2</v>
          </cell>
          <cell r="V87">
            <v>-0.16490892417715086</v>
          </cell>
          <cell r="W87">
            <v>-0.26436260802522404</v>
          </cell>
          <cell r="X87">
            <v>-0.1974537602785795</v>
          </cell>
          <cell r="Y87">
            <v>-0.24799545515197341</v>
          </cell>
          <cell r="Z87">
            <v>-0.23567089926011611</v>
          </cell>
          <cell r="AA87">
            <v>-0.11689671754501579</v>
          </cell>
          <cell r="AB87">
            <v>-8.5767365988490635E-2</v>
          </cell>
          <cell r="AC87">
            <v>-8.9273410046165458E-2</v>
          </cell>
          <cell r="AD87">
            <v>-5.1212035236559643E-2</v>
          </cell>
        </row>
        <row r="88">
          <cell r="C88">
            <v>2.3549249525753524</v>
          </cell>
          <cell r="S88">
            <v>-3.7353768362141243E-2</v>
          </cell>
          <cell r="V88">
            <v>-0.16490892417715086</v>
          </cell>
          <cell r="W88">
            <v>-0.26436260802522404</v>
          </cell>
          <cell r="X88">
            <v>-0.1974537602785795</v>
          </cell>
          <cell r="Y88">
            <v>-0.24799545515197341</v>
          </cell>
          <cell r="Z88">
            <v>-0.23687324058585943</v>
          </cell>
          <cell r="AA88">
            <v>-0.11689671754501579</v>
          </cell>
          <cell r="AB88">
            <v>-8.5767365988490635E-2</v>
          </cell>
          <cell r="AC88">
            <v>-8.9273410046165458E-2</v>
          </cell>
          <cell r="AD88">
            <v>-5.1212035236559643E-2</v>
          </cell>
        </row>
        <row r="89">
          <cell r="C89">
            <v>2.3819930554785174</v>
          </cell>
          <cell r="S89">
            <v>-3.7353768362141243E-2</v>
          </cell>
          <cell r="V89">
            <v>-0.16490892417715086</v>
          </cell>
          <cell r="W89">
            <v>-0.26436260802522404</v>
          </cell>
          <cell r="X89">
            <v>-0.1974537602785795</v>
          </cell>
          <cell r="Y89">
            <v>-0.24799545515197341</v>
          </cell>
          <cell r="Z89">
            <v>-0.23807318202871702</v>
          </cell>
          <cell r="AA89">
            <v>-0.11689671754501579</v>
          </cell>
          <cell r="AB89">
            <v>-8.5767365988490635E-2</v>
          </cell>
          <cell r="AC89">
            <v>-8.9273410046165458E-2</v>
          </cell>
          <cell r="AD89">
            <v>-5.1212035236559643E-2</v>
          </cell>
        </row>
        <row r="90">
          <cell r="C90">
            <v>2.4090611583816823</v>
          </cell>
          <cell r="S90">
            <v>-3.7353768362141243E-2</v>
          </cell>
          <cell r="V90">
            <v>-0.16490892417715086</v>
          </cell>
          <cell r="W90">
            <v>-0.26436260802522404</v>
          </cell>
          <cell r="X90">
            <v>-0.1974537602785795</v>
          </cell>
          <cell r="Y90">
            <v>-0.24799545515197341</v>
          </cell>
          <cell r="Z90">
            <v>-0.23927552335446034</v>
          </cell>
          <cell r="AA90">
            <v>-0.11689671754501579</v>
          </cell>
          <cell r="AB90">
            <v>-8.5767365988490635E-2</v>
          </cell>
          <cell r="AC90">
            <v>-8.9273410046165458E-2</v>
          </cell>
          <cell r="AD90">
            <v>-5.1212035236559643E-2</v>
          </cell>
        </row>
        <row r="91">
          <cell r="C91">
            <v>2.4361292612848473</v>
          </cell>
          <cell r="S91">
            <v>-3.7353768362141243E-2</v>
          </cell>
          <cell r="V91">
            <v>-0.16490892417715086</v>
          </cell>
          <cell r="W91">
            <v>-0.26436260802522404</v>
          </cell>
          <cell r="X91">
            <v>-0.1974537602785795</v>
          </cell>
          <cell r="Y91">
            <v>-0.24799545515197341</v>
          </cell>
          <cell r="Z91">
            <v>-0.24047546479731793</v>
          </cell>
          <cell r="AA91">
            <v>-0.11689671754501579</v>
          </cell>
          <cell r="AB91">
            <v>-8.5767365988490635E-2</v>
          </cell>
          <cell r="AC91">
            <v>-8.9273410046165458E-2</v>
          </cell>
          <cell r="AD91">
            <v>-5.1212035236559643E-2</v>
          </cell>
        </row>
        <row r="92">
          <cell r="C92">
            <v>2.4631973641880123</v>
          </cell>
          <cell r="S92">
            <v>-3.7353768362141243E-2</v>
          </cell>
          <cell r="V92">
            <v>-0.16490892417715086</v>
          </cell>
          <cell r="W92">
            <v>-0.26436260802522404</v>
          </cell>
          <cell r="X92">
            <v>-0.1974537602785795</v>
          </cell>
          <cell r="Y92">
            <v>-0.24799545515197341</v>
          </cell>
          <cell r="Z92">
            <v>-0.24167780612306125</v>
          </cell>
          <cell r="AA92">
            <v>-0.11689671754501579</v>
          </cell>
          <cell r="AB92">
            <v>-8.5767365988490635E-2</v>
          </cell>
          <cell r="AC92">
            <v>-8.9273410046165458E-2</v>
          </cell>
          <cell r="AD92">
            <v>-5.1212035236559643E-2</v>
          </cell>
        </row>
        <row r="93">
          <cell r="C93">
            <v>2.4902654670911772</v>
          </cell>
          <cell r="S93">
            <v>-3.7353768362141243E-2</v>
          </cell>
          <cell r="V93">
            <v>-0.16490892417715086</v>
          </cell>
          <cell r="W93">
            <v>-0.26436260802522404</v>
          </cell>
          <cell r="X93">
            <v>-0.1974537602785795</v>
          </cell>
          <cell r="Y93">
            <v>-0.24799545515197341</v>
          </cell>
          <cell r="Z93">
            <v>-0.24287774756591879</v>
          </cell>
          <cell r="AA93">
            <v>-0.11689671754501579</v>
          </cell>
          <cell r="AB93">
            <v>-8.5767365988490635E-2</v>
          </cell>
          <cell r="AC93">
            <v>-8.9273410046165458E-2</v>
          </cell>
          <cell r="AD93">
            <v>-5.1212035236559643E-2</v>
          </cell>
        </row>
        <row r="94">
          <cell r="C94">
            <v>2.5173335699943422</v>
          </cell>
          <cell r="S94">
            <v>-3.7353768362141243E-2</v>
          </cell>
          <cell r="V94">
            <v>-0.16490892417715086</v>
          </cell>
          <cell r="W94">
            <v>-0.26436260802522404</v>
          </cell>
          <cell r="X94">
            <v>-0.1974537602785795</v>
          </cell>
          <cell r="Y94">
            <v>-0.24799545515197341</v>
          </cell>
          <cell r="Z94">
            <v>-0.24408008889166211</v>
          </cell>
          <cell r="AA94">
            <v>-0.11689671754501579</v>
          </cell>
          <cell r="AB94">
            <v>-8.5767365988490635E-2</v>
          </cell>
          <cell r="AC94">
            <v>-8.9273410046165458E-2</v>
          </cell>
          <cell r="AD94">
            <v>-5.1212035236559643E-2</v>
          </cell>
        </row>
        <row r="95">
          <cell r="C95">
            <v>2.5444016728975072</v>
          </cell>
          <cell r="S95">
            <v>-3.7353768362141243E-2</v>
          </cell>
          <cell r="V95">
            <v>-0.16490892417715086</v>
          </cell>
          <cell r="W95">
            <v>-0.26436260802522404</v>
          </cell>
          <cell r="X95">
            <v>-0.1974537602785795</v>
          </cell>
          <cell r="Y95">
            <v>-0.24799545515197341</v>
          </cell>
          <cell r="Z95">
            <v>-0.2452800303345197</v>
          </cell>
          <cell r="AA95">
            <v>-0.11689671754501579</v>
          </cell>
          <cell r="AB95">
            <v>-8.5767365988490635E-2</v>
          </cell>
          <cell r="AC95">
            <v>-8.9273410046165458E-2</v>
          </cell>
          <cell r="AD95">
            <v>-5.1212035236559643E-2</v>
          </cell>
        </row>
        <row r="96">
          <cell r="C96">
            <v>2.5714697758006722</v>
          </cell>
          <cell r="S96">
            <v>-3.7353768362141243E-2</v>
          </cell>
          <cell r="V96">
            <v>-0.16490892417715086</v>
          </cell>
          <cell r="W96">
            <v>-0.26436260802522404</v>
          </cell>
          <cell r="X96">
            <v>-0.1974537602785795</v>
          </cell>
          <cell r="Y96">
            <v>-0.24799545515197341</v>
          </cell>
          <cell r="Z96">
            <v>-0.24647997177737729</v>
          </cell>
          <cell r="AA96">
            <v>-0.11689671754501579</v>
          </cell>
          <cell r="AB96">
            <v>-8.5767365988490635E-2</v>
          </cell>
          <cell r="AC96">
            <v>-8.9273410046165458E-2</v>
          </cell>
          <cell r="AD96">
            <v>-5.1212035236559643E-2</v>
          </cell>
        </row>
        <row r="97">
          <cell r="C97">
            <v>2.5985378787038371</v>
          </cell>
          <cell r="S97">
            <v>-3.7353768362141243E-2</v>
          </cell>
          <cell r="V97">
            <v>-0.16490892417715086</v>
          </cell>
          <cell r="W97">
            <v>-0.26436260802522404</v>
          </cell>
          <cell r="X97">
            <v>-0.1974537602785795</v>
          </cell>
          <cell r="Y97">
            <v>-0.24799545515197341</v>
          </cell>
          <cell r="Z97">
            <v>-0.24768231310312061</v>
          </cell>
          <cell r="AA97">
            <v>-0.11689671754501579</v>
          </cell>
          <cell r="AB97">
            <v>-8.5767365988490635E-2</v>
          </cell>
          <cell r="AC97">
            <v>-8.9273410046165458E-2</v>
          </cell>
          <cell r="AD97">
            <v>-5.1212035236559643E-2</v>
          </cell>
        </row>
        <row r="98">
          <cell r="C98">
            <v>2.6256059816070021</v>
          </cell>
          <cell r="S98">
            <v>-3.7353768362141243E-2</v>
          </cell>
          <cell r="V98">
            <v>-0.16490892417715086</v>
          </cell>
          <cell r="W98">
            <v>-0.26436260802522404</v>
          </cell>
          <cell r="X98">
            <v>-0.1974537602785795</v>
          </cell>
          <cell r="Y98">
            <v>-0.24799545515197341</v>
          </cell>
          <cell r="Z98">
            <v>-0.24888225454597815</v>
          </cell>
          <cell r="AA98">
            <v>-0.11689671754501579</v>
          </cell>
          <cell r="AB98">
            <v>-8.5767365988490635E-2</v>
          </cell>
          <cell r="AC98">
            <v>-8.9273410046165458E-2</v>
          </cell>
          <cell r="AD98">
            <v>-5.1212035236559643E-2</v>
          </cell>
        </row>
        <row r="99">
          <cell r="C99">
            <v>2.6526740845101671</v>
          </cell>
          <cell r="S99">
            <v>-3.7353768362141243E-2</v>
          </cell>
          <cell r="V99">
            <v>-0.16490892417715086</v>
          </cell>
          <cell r="W99">
            <v>-0.26436260802522404</v>
          </cell>
          <cell r="X99">
            <v>-0.1974537602785795</v>
          </cell>
          <cell r="Y99">
            <v>-0.24799545515197341</v>
          </cell>
          <cell r="Z99">
            <v>-0.25008459587172144</v>
          </cell>
          <cell r="AA99">
            <v>-0.11689671754501579</v>
          </cell>
          <cell r="AB99">
            <v>-8.5767365988490635E-2</v>
          </cell>
          <cell r="AC99">
            <v>-8.9273410046165458E-2</v>
          </cell>
          <cell r="AD99">
            <v>-5.1212035236559643E-2</v>
          </cell>
        </row>
        <row r="100">
          <cell r="C100">
            <v>2.679742187413332</v>
          </cell>
          <cell r="S100">
            <v>-3.7353768362141243E-2</v>
          </cell>
          <cell r="V100">
            <v>-0.16490892417715086</v>
          </cell>
          <cell r="W100">
            <v>-0.26436260802522404</v>
          </cell>
          <cell r="X100">
            <v>-0.1974537602785795</v>
          </cell>
          <cell r="Y100">
            <v>-0.24799545515197341</v>
          </cell>
          <cell r="Z100">
            <v>-0.25128453731457906</v>
          </cell>
          <cell r="AA100">
            <v>-0.11689671754501579</v>
          </cell>
          <cell r="AB100">
            <v>-8.5767365988490635E-2</v>
          </cell>
          <cell r="AC100">
            <v>-8.9273410046165458E-2</v>
          </cell>
          <cell r="AD100">
            <v>-5.1212035236559643E-2</v>
          </cell>
        </row>
        <row r="101">
          <cell r="C101">
            <v>2.706810290316497</v>
          </cell>
          <cell r="S101">
            <v>-3.7353768362141243E-2</v>
          </cell>
          <cell r="V101">
            <v>-0.16490892417715086</v>
          </cell>
          <cell r="W101">
            <v>-0.26436260802522404</v>
          </cell>
          <cell r="X101">
            <v>-0.1974537602785795</v>
          </cell>
          <cell r="Y101">
            <v>-0.24799545515197341</v>
          </cell>
          <cell r="Z101">
            <v>-0.25248687864032238</v>
          </cell>
          <cell r="AA101">
            <v>-0.11689671754501579</v>
          </cell>
          <cell r="AB101">
            <v>-8.5767365988490635E-2</v>
          </cell>
          <cell r="AC101">
            <v>-8.9273410046165458E-2</v>
          </cell>
          <cell r="AD101">
            <v>-5.1212035236559643E-2</v>
          </cell>
        </row>
      </sheetData>
      <sheetData sheetId="1">
        <row r="2">
          <cell r="P2" t="str">
            <v>Jan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19A-9B7B-40D0-A1AE-53213717943F}">
  <sheetPr>
    <tabColor rgb="FF5A8B25"/>
  </sheetPr>
  <dimension ref="A1"/>
  <sheetViews>
    <sheetView showGridLines="0" zoomScale="85" zoomScaleNormal="85" workbookViewId="0">
      <selection activeCell="K41" sqref="K41"/>
    </sheetView>
  </sheetViews>
  <sheetFormatPr defaultRowHeight="14.6" x14ac:dyDescent="0.4"/>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D1102"/>
  <sheetViews>
    <sheetView workbookViewId="0">
      <selection activeCell="J39" sqref="J39"/>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Summary!K24</f>
        <v>SITE 8</v>
      </c>
      <c r="C1" s="19"/>
      <c r="D1" s="19"/>
      <c r="E1" s="19"/>
      <c r="F1" s="19"/>
      <c r="G1" s="19"/>
      <c r="H1" s="19"/>
      <c r="I1" s="19"/>
      <c r="J1" s="19"/>
      <c r="K1" s="19"/>
      <c r="L1" s="20"/>
      <c r="M1" s="20"/>
      <c r="N1" s="20"/>
    </row>
    <row r="2" spans="1:14" ht="58.3" x14ac:dyDescent="0.4">
      <c r="A2" s="40"/>
      <c r="B2" s="40" t="s">
        <v>45</v>
      </c>
      <c r="C2" s="53" t="s">
        <v>38</v>
      </c>
      <c r="D2" s="53" t="s">
        <v>32</v>
      </c>
      <c r="E2" s="54" t="s">
        <v>46</v>
      </c>
      <c r="F2" s="54" t="s">
        <v>39</v>
      </c>
      <c r="G2" s="55" t="s">
        <v>155</v>
      </c>
      <c r="H2" s="55" t="s">
        <v>156</v>
      </c>
      <c r="I2" s="55" t="s">
        <v>114</v>
      </c>
      <c r="J2" s="40" t="s">
        <v>47</v>
      </c>
      <c r="K2" s="40" t="s">
        <v>33</v>
      </c>
      <c r="L2" s="40" t="s">
        <v>34</v>
      </c>
      <c r="M2" s="40" t="s">
        <v>35</v>
      </c>
      <c r="N2" s="40" t="s">
        <v>36</v>
      </c>
    </row>
    <row r="3" spans="1:14" x14ac:dyDescent="0.4">
      <c r="A3" s="23">
        <v>1</v>
      </c>
      <c r="B3" s="42">
        <f>Summary!K27</f>
        <v>0</v>
      </c>
      <c r="C3" s="25">
        <f>Summary!K28</f>
        <v>0</v>
      </c>
      <c r="D3" s="24">
        <f>B3*C3*-1</f>
        <v>0</v>
      </c>
      <c r="E3" s="41">
        <f>VLOOKUP(Summary!K25,Summary!V4:AF6,11,FALSE)</f>
        <v>6.5761E-2</v>
      </c>
      <c r="F3" s="41">
        <f>B3*E3</f>
        <v>0</v>
      </c>
      <c r="G3" s="22">
        <f>IF(Summary!$K$26&lt;=40,Summary!$G$18,Summary!$G$17)</f>
        <v>0.08</v>
      </c>
      <c r="H3" s="75">
        <f t="shared" ref="H3:H12" si="0">G3*B3</f>
        <v>0</v>
      </c>
      <c r="I3" s="75">
        <f>IFERROR('Demand Charge Calculations'!B52,0)</f>
        <v>0</v>
      </c>
      <c r="J3" s="24">
        <f t="shared" ref="J3:J32" si="1">D3*-1-H3</f>
        <v>0</v>
      </c>
      <c r="K3" s="24">
        <f>F3+D3+H3+I3</f>
        <v>0</v>
      </c>
      <c r="L3" s="24">
        <f>K3</f>
        <v>0</v>
      </c>
      <c r="M3" s="24">
        <f>K3/(1+Summary!$G$16)^($A3-1)</f>
        <v>0</v>
      </c>
      <c r="N3" s="24">
        <f>M3</f>
        <v>0</v>
      </c>
    </row>
    <row r="4" spans="1:14" x14ac:dyDescent="0.4">
      <c r="A4" s="23">
        <v>2</v>
      </c>
      <c r="B4" s="42">
        <f>B3*(1-Summary!$G$19)</f>
        <v>0</v>
      </c>
      <c r="C4" s="25">
        <f>IF(A4&gt;Summary!$K$31,0,(C3*(1+Summary!$K$29)))</f>
        <v>0</v>
      </c>
      <c r="D4" s="24">
        <f t="shared" ref="D4:D32" si="2">B4*C4*-1</f>
        <v>0</v>
      </c>
      <c r="E4" s="41">
        <f>E3*(1+Summary!$G$15)</f>
        <v>6.7451057699999997E-2</v>
      </c>
      <c r="F4" s="41">
        <f t="shared" ref="F4:F32" si="3">B4*E4</f>
        <v>0</v>
      </c>
      <c r="G4" s="22">
        <f>IF(Summary!$K$26&lt;=40,Summary!$G$18,Summary!$G$17)</f>
        <v>0.08</v>
      </c>
      <c r="H4" s="75">
        <f t="shared" si="0"/>
        <v>0</v>
      </c>
      <c r="I4" s="75">
        <f>I3*(1-Summary!$G$19)*(1+Summary!$G$15)</f>
        <v>0</v>
      </c>
      <c r="J4" s="24">
        <f t="shared" si="1"/>
        <v>0</v>
      </c>
      <c r="K4" s="24">
        <f t="shared" ref="K4:K32" si="4">F4+D4+H4+I4</f>
        <v>0</v>
      </c>
      <c r="L4" s="24">
        <f t="shared" ref="L4:L32" si="5">L3+K4</f>
        <v>0</v>
      </c>
      <c r="M4" s="24">
        <f>K4/(1+Summary!$G$16)^($A4-1)</f>
        <v>0</v>
      </c>
      <c r="N4" s="24">
        <f>M4+N3</f>
        <v>0</v>
      </c>
    </row>
    <row r="5" spans="1:14" x14ac:dyDescent="0.4">
      <c r="A5" s="23">
        <v>3</v>
      </c>
      <c r="B5" s="42">
        <f>B4*(1-Summary!$G$19)</f>
        <v>0</v>
      </c>
      <c r="C5" s="25">
        <f>IF(A5&gt;Summary!$K$31,0,(C4*(1+Summary!$K$29)))</f>
        <v>0</v>
      </c>
      <c r="D5" s="24">
        <f t="shared" si="2"/>
        <v>0</v>
      </c>
      <c r="E5" s="41">
        <f>E4*(1+Summary!$G$15)</f>
        <v>6.9184549882889995E-2</v>
      </c>
      <c r="F5" s="41">
        <f t="shared" si="3"/>
        <v>0</v>
      </c>
      <c r="G5" s="22">
        <f>IF(Summary!$K$26&lt;=40,Summary!$G$18,Summary!$G$17)</f>
        <v>0.08</v>
      </c>
      <c r="H5" s="75">
        <f t="shared" si="0"/>
        <v>0</v>
      </c>
      <c r="I5" s="75">
        <f>I4*(1-Summary!$G$19)*(1+Summary!$G$15)</f>
        <v>0</v>
      </c>
      <c r="J5" s="24">
        <f t="shared" si="1"/>
        <v>0</v>
      </c>
      <c r="K5" s="24">
        <f t="shared" si="4"/>
        <v>0</v>
      </c>
      <c r="L5" s="24">
        <f t="shared" si="5"/>
        <v>0</v>
      </c>
      <c r="M5" s="24">
        <f>K5/(1+Summary!$G$16)^($A5-1)</f>
        <v>0</v>
      </c>
      <c r="N5" s="24">
        <f t="shared" ref="N5:N32" si="6">M5+N4</f>
        <v>0</v>
      </c>
    </row>
    <row r="6" spans="1:14" x14ac:dyDescent="0.4">
      <c r="A6" s="23">
        <v>4</v>
      </c>
      <c r="B6" s="42">
        <f>B5*(1-Summary!$G$19)</f>
        <v>0</v>
      </c>
      <c r="C6" s="25">
        <f>IF(A6&gt;Summary!$K$31,0,(C5*(1+Summary!$K$29)))</f>
        <v>0</v>
      </c>
      <c r="D6" s="24">
        <f t="shared" si="2"/>
        <v>0</v>
      </c>
      <c r="E6" s="41">
        <f>E5*(1+Summary!$G$15)</f>
        <v>7.0962592814880265E-2</v>
      </c>
      <c r="F6" s="41">
        <f t="shared" si="3"/>
        <v>0</v>
      </c>
      <c r="G6" s="22">
        <f>IF(Summary!$K$26&lt;=40,Summary!$G$18,Summary!$G$17)</f>
        <v>0.08</v>
      </c>
      <c r="H6" s="75">
        <f t="shared" si="0"/>
        <v>0</v>
      </c>
      <c r="I6" s="75">
        <f>I5*(1-Summary!$G$19)*(1+Summary!$G$15)</f>
        <v>0</v>
      </c>
      <c r="J6" s="24">
        <f t="shared" si="1"/>
        <v>0</v>
      </c>
      <c r="K6" s="24">
        <f t="shared" si="4"/>
        <v>0</v>
      </c>
      <c r="L6" s="24">
        <f t="shared" si="5"/>
        <v>0</v>
      </c>
      <c r="M6" s="24">
        <f>K6/(1+Summary!$G$16)^($A6-1)</f>
        <v>0</v>
      </c>
      <c r="N6" s="24">
        <f t="shared" si="6"/>
        <v>0</v>
      </c>
    </row>
    <row r="7" spans="1:14" x14ac:dyDescent="0.4">
      <c r="A7" s="43">
        <v>5</v>
      </c>
      <c r="B7" s="44">
        <f>B6*(1-Summary!$G$19)</f>
        <v>0</v>
      </c>
      <c r="C7" s="45">
        <f>IF(A7&gt;Summary!$K$31,0,(C6*(1+Summary!$K$29)))</f>
        <v>0</v>
      </c>
      <c r="D7" s="46">
        <f t="shared" si="2"/>
        <v>0</v>
      </c>
      <c r="E7" s="47">
        <f>E6*(1+Summary!$G$15)</f>
        <v>7.2786331450222688E-2</v>
      </c>
      <c r="F7" s="47">
        <f t="shared" si="3"/>
        <v>0</v>
      </c>
      <c r="G7" s="83">
        <f>IF(Summary!$K$26&lt;=40,Summary!$G$18,Summary!$G$17)</f>
        <v>0.08</v>
      </c>
      <c r="H7" s="81">
        <f t="shared" si="0"/>
        <v>0</v>
      </c>
      <c r="I7" s="81">
        <f>I6*(1-Summary!$G$19)*(1+Summary!$G$15)</f>
        <v>0</v>
      </c>
      <c r="J7" s="46">
        <f t="shared" si="1"/>
        <v>0</v>
      </c>
      <c r="K7" s="81">
        <f t="shared" si="4"/>
        <v>0</v>
      </c>
      <c r="L7" s="46">
        <f t="shared" si="5"/>
        <v>0</v>
      </c>
      <c r="M7" s="46">
        <f>K7/(1+Summary!$G$16)^($A7-1)</f>
        <v>0</v>
      </c>
      <c r="N7" s="46">
        <f t="shared" si="6"/>
        <v>0</v>
      </c>
    </row>
    <row r="8" spans="1:14" x14ac:dyDescent="0.4">
      <c r="A8" s="23">
        <v>6</v>
      </c>
      <c r="B8" s="42">
        <f>B7*(1-Summary!$G$19)</f>
        <v>0</v>
      </c>
      <c r="C8" s="25">
        <f>IF(A8&gt;Summary!$K$31,0,(C7*(1+Summary!$K$29)))</f>
        <v>0</v>
      </c>
      <c r="D8" s="24">
        <f t="shared" si="2"/>
        <v>0</v>
      </c>
      <c r="E8" s="41">
        <f>E7*(1+Summary!$G$15)</f>
        <v>7.4656940168493419E-2</v>
      </c>
      <c r="F8" s="41">
        <f t="shared" si="3"/>
        <v>0</v>
      </c>
      <c r="G8" s="22">
        <f>IF(Summary!$K$26&lt;=40,Summary!$G$18,Summary!$G$17)</f>
        <v>0.08</v>
      </c>
      <c r="H8" s="75">
        <f t="shared" si="0"/>
        <v>0</v>
      </c>
      <c r="I8" s="75">
        <f>I7*(1-Summary!$G$19)*(1+Summary!$G$15)</f>
        <v>0</v>
      </c>
      <c r="J8" s="24">
        <f t="shared" si="1"/>
        <v>0</v>
      </c>
      <c r="K8" s="24">
        <f t="shared" si="4"/>
        <v>0</v>
      </c>
      <c r="L8" s="24">
        <f t="shared" si="5"/>
        <v>0</v>
      </c>
      <c r="M8" s="24">
        <f>K8/(1+Summary!$G$16)^($A8-1)</f>
        <v>0</v>
      </c>
      <c r="N8" s="24">
        <f t="shared" si="6"/>
        <v>0</v>
      </c>
    </row>
    <row r="9" spans="1:14" x14ac:dyDescent="0.4">
      <c r="A9" s="23">
        <v>7</v>
      </c>
      <c r="B9" s="42">
        <f>B8*(1-Summary!$G$19)</f>
        <v>0</v>
      </c>
      <c r="C9" s="25">
        <f>IF(A9&gt;Summary!$K$31,0,(C8*(1+Summary!$K$29)))</f>
        <v>0</v>
      </c>
      <c r="D9" s="24">
        <f t="shared" si="2"/>
        <v>0</v>
      </c>
      <c r="E9" s="41">
        <f>E8*(1+Summary!$G$15)</f>
        <v>7.65756235308237E-2</v>
      </c>
      <c r="F9" s="41">
        <f t="shared" si="3"/>
        <v>0</v>
      </c>
      <c r="G9" s="22">
        <f>IF(Summary!$K$26&lt;=40,Summary!$G$18,0)</f>
        <v>0.08</v>
      </c>
      <c r="H9" s="75">
        <f t="shared" si="0"/>
        <v>0</v>
      </c>
      <c r="I9" s="75">
        <f>I8*(1-Summary!$G$19)*(1+Summary!$G$15)</f>
        <v>0</v>
      </c>
      <c r="J9" s="24">
        <f t="shared" si="1"/>
        <v>0</v>
      </c>
      <c r="K9" s="24">
        <f t="shared" si="4"/>
        <v>0</v>
      </c>
      <c r="L9" s="24">
        <f t="shared" si="5"/>
        <v>0</v>
      </c>
      <c r="M9" s="24">
        <f>K9/(1+Summary!$G$16)^($A9-1)</f>
        <v>0</v>
      </c>
      <c r="N9" s="24">
        <f t="shared" si="6"/>
        <v>0</v>
      </c>
    </row>
    <row r="10" spans="1:14" x14ac:dyDescent="0.4">
      <c r="A10" s="23">
        <v>8</v>
      </c>
      <c r="B10" s="42">
        <f>B9*(1-Summary!$G$19)</f>
        <v>0</v>
      </c>
      <c r="C10" s="25">
        <f>IF(A10&gt;Summary!$K$31,0,(C9*(1+Summary!$K$29)))</f>
        <v>0</v>
      </c>
      <c r="D10" s="24">
        <f t="shared" si="2"/>
        <v>0</v>
      </c>
      <c r="E10" s="41">
        <f>E9*(1+Summary!$G$15)</f>
        <v>7.8543617055565867E-2</v>
      </c>
      <c r="F10" s="41">
        <f t="shared" si="3"/>
        <v>0</v>
      </c>
      <c r="G10" s="22">
        <f>IF(Summary!$K$26&lt;=40,Summary!$G$18,0)</f>
        <v>0.08</v>
      </c>
      <c r="H10" s="75">
        <f t="shared" si="0"/>
        <v>0</v>
      </c>
      <c r="I10" s="75">
        <f>I9*(1-Summary!$G$19)*(1+Summary!$G$15)</f>
        <v>0</v>
      </c>
      <c r="J10" s="24">
        <f t="shared" si="1"/>
        <v>0</v>
      </c>
      <c r="K10" s="24">
        <f t="shared" si="4"/>
        <v>0</v>
      </c>
      <c r="L10" s="24">
        <f t="shared" si="5"/>
        <v>0</v>
      </c>
      <c r="M10" s="24">
        <f>K10/(1+Summary!$G$16)^($A10-1)</f>
        <v>0</v>
      </c>
      <c r="N10" s="24">
        <f t="shared" si="6"/>
        <v>0</v>
      </c>
    </row>
    <row r="11" spans="1:14" x14ac:dyDescent="0.4">
      <c r="A11" s="23">
        <v>9</v>
      </c>
      <c r="B11" s="42">
        <f>B10*(1-Summary!$G$19)</f>
        <v>0</v>
      </c>
      <c r="C11" s="25">
        <f>IF(A11&gt;Summary!$K$31,0,(C10*(1+Summary!$K$29)))</f>
        <v>0</v>
      </c>
      <c r="D11" s="24">
        <f t="shared" si="2"/>
        <v>0</v>
      </c>
      <c r="E11" s="41">
        <f>E10*(1+Summary!$G$15)</f>
        <v>8.0562188013893921E-2</v>
      </c>
      <c r="F11" s="41">
        <f t="shared" si="3"/>
        <v>0</v>
      </c>
      <c r="G11" s="22">
        <f>IF(Summary!$K$26&lt;=40,Summary!$G$18,0)</f>
        <v>0.08</v>
      </c>
      <c r="H11" s="75">
        <f t="shared" si="0"/>
        <v>0</v>
      </c>
      <c r="I11" s="75">
        <f>I10*(1-Summary!$G$19)*(1+Summary!$G$15)</f>
        <v>0</v>
      </c>
      <c r="J11" s="24">
        <f t="shared" si="1"/>
        <v>0</v>
      </c>
      <c r="K11" s="24">
        <f t="shared" si="4"/>
        <v>0</v>
      </c>
      <c r="L11" s="24">
        <f t="shared" si="5"/>
        <v>0</v>
      </c>
      <c r="M11" s="24">
        <f>K11/(1+Summary!$G$16)^($A11-1)</f>
        <v>0</v>
      </c>
      <c r="N11" s="24">
        <f t="shared" si="6"/>
        <v>0</v>
      </c>
    </row>
    <row r="12" spans="1:14" x14ac:dyDescent="0.4">
      <c r="A12" s="43">
        <v>10</v>
      </c>
      <c r="B12" s="44">
        <f>B11*(1-Summary!$G$19)</f>
        <v>0</v>
      </c>
      <c r="C12" s="45">
        <f>IF(A12&gt;Summary!$K$31,0,(C11*(1+Summary!$K$29)))</f>
        <v>0</v>
      </c>
      <c r="D12" s="46">
        <f t="shared" si="2"/>
        <v>0</v>
      </c>
      <c r="E12" s="47">
        <f>E11*(1+Summary!$G$15)</f>
        <v>8.2632636245851002E-2</v>
      </c>
      <c r="F12" s="47">
        <f t="shared" si="3"/>
        <v>0</v>
      </c>
      <c r="G12" s="83">
        <f>IF(Summary!$K$26&lt;=40,Summary!$G$18,0)</f>
        <v>0.08</v>
      </c>
      <c r="H12" s="81">
        <f t="shared" si="0"/>
        <v>0</v>
      </c>
      <c r="I12" s="81">
        <f>I11*(1-Summary!$G$19)*(1+Summary!$G$15)</f>
        <v>0</v>
      </c>
      <c r="J12" s="46">
        <f t="shared" si="1"/>
        <v>0</v>
      </c>
      <c r="K12" s="81">
        <f>F12+D12+H12+I12</f>
        <v>0</v>
      </c>
      <c r="L12" s="46">
        <f t="shared" si="5"/>
        <v>0</v>
      </c>
      <c r="M12" s="46">
        <f>K12/(1+Summary!$G$16)^($A12-1)</f>
        <v>0</v>
      </c>
      <c r="N12" s="46">
        <f t="shared" si="6"/>
        <v>0</v>
      </c>
    </row>
    <row r="13" spans="1:14" x14ac:dyDescent="0.4">
      <c r="A13" s="23">
        <v>11</v>
      </c>
      <c r="B13" s="42">
        <f>B12*(1-Summary!$G$19)</f>
        <v>0</v>
      </c>
      <c r="C13" s="25">
        <f>IF(A13&gt;Summary!$K$31,0,(C12*(1+Summary!$K$29)))</f>
        <v>0</v>
      </c>
      <c r="D13" s="24">
        <f t="shared" si="2"/>
        <v>0</v>
      </c>
      <c r="E13" s="41">
        <f>E12*(1+Summary!$G$15)</f>
        <v>8.4756294997369377E-2</v>
      </c>
      <c r="F13" s="41">
        <f t="shared" si="3"/>
        <v>0</v>
      </c>
      <c r="G13" s="22"/>
      <c r="H13" s="24">
        <f t="shared" ref="H13:H32" si="7">G13*B13</f>
        <v>0</v>
      </c>
      <c r="I13" s="24">
        <f>I12*(1-Summary!$G$19)*(1+Summary!$G$15)</f>
        <v>0</v>
      </c>
      <c r="J13" s="24">
        <f t="shared" si="1"/>
        <v>0</v>
      </c>
      <c r="K13" s="24">
        <f t="shared" si="4"/>
        <v>0</v>
      </c>
      <c r="L13" s="24">
        <f t="shared" si="5"/>
        <v>0</v>
      </c>
      <c r="M13" s="24">
        <f>K13/(1+Summary!$G$16)^($A13-1)</f>
        <v>0</v>
      </c>
      <c r="N13" s="24">
        <f t="shared" si="6"/>
        <v>0</v>
      </c>
    </row>
    <row r="14" spans="1:14" x14ac:dyDescent="0.4">
      <c r="A14" s="23">
        <v>12</v>
      </c>
      <c r="B14" s="42">
        <f>B13*(1-Summary!$G$19)</f>
        <v>0</v>
      </c>
      <c r="C14" s="25">
        <f>IF(A14&gt;Summary!$K$31,0,(C13*(1+Summary!$K$29)))</f>
        <v>0</v>
      </c>
      <c r="D14" s="24">
        <f t="shared" si="2"/>
        <v>0</v>
      </c>
      <c r="E14" s="41">
        <f>E13*(1+Summary!$G$15)</f>
        <v>8.6934531778801769E-2</v>
      </c>
      <c r="F14" s="41">
        <f t="shared" si="3"/>
        <v>0</v>
      </c>
      <c r="G14" s="22"/>
      <c r="H14" s="24">
        <f t="shared" si="7"/>
        <v>0</v>
      </c>
      <c r="I14" s="24">
        <f>I13*(1-Summary!$G$19)*(1+Summary!$G$15)</f>
        <v>0</v>
      </c>
      <c r="J14" s="24">
        <f t="shared" si="1"/>
        <v>0</v>
      </c>
      <c r="K14" s="24">
        <f t="shared" si="4"/>
        <v>0</v>
      </c>
      <c r="L14" s="24">
        <f t="shared" si="5"/>
        <v>0</v>
      </c>
      <c r="M14" s="24">
        <f>K14/(1+Summary!$G$16)^($A14-1)</f>
        <v>0</v>
      </c>
      <c r="N14" s="24">
        <f t="shared" si="6"/>
        <v>0</v>
      </c>
    </row>
    <row r="15" spans="1:14" x14ac:dyDescent="0.4">
      <c r="A15" s="23">
        <v>13</v>
      </c>
      <c r="B15" s="42">
        <f>B14*(1-Summary!$G$19)</f>
        <v>0</v>
      </c>
      <c r="C15" s="25">
        <f>IF(A15&gt;Summary!$K$31,0,(C14*(1+Summary!$K$29)))</f>
        <v>0</v>
      </c>
      <c r="D15" s="24">
        <f t="shared" si="2"/>
        <v>0</v>
      </c>
      <c r="E15" s="41">
        <f>E14*(1+Summary!$G$15)</f>
        <v>8.9168749245516973E-2</v>
      </c>
      <c r="F15" s="41">
        <f t="shared" si="3"/>
        <v>0</v>
      </c>
      <c r="G15" s="22"/>
      <c r="H15" s="24">
        <f t="shared" si="7"/>
        <v>0</v>
      </c>
      <c r="I15" s="24">
        <f>I14*(1-Summary!$G$19)*(1+Summary!$G$15)</f>
        <v>0</v>
      </c>
      <c r="J15" s="24">
        <f t="shared" si="1"/>
        <v>0</v>
      </c>
      <c r="K15" s="24">
        <f t="shared" si="4"/>
        <v>0</v>
      </c>
      <c r="L15" s="24">
        <f t="shared" si="5"/>
        <v>0</v>
      </c>
      <c r="M15" s="24">
        <f>K15/(1+Summary!$G$16)^($A15-1)</f>
        <v>0</v>
      </c>
      <c r="N15" s="24">
        <f t="shared" si="6"/>
        <v>0</v>
      </c>
    </row>
    <row r="16" spans="1:14" x14ac:dyDescent="0.4">
      <c r="A16" s="23">
        <v>14</v>
      </c>
      <c r="B16" s="42">
        <f>B15*(1-Summary!$G$19)</f>
        <v>0</v>
      </c>
      <c r="C16" s="25">
        <f>IF(A16&gt;Summary!$K$31,0,(C15*(1+Summary!$K$29)))</f>
        <v>0</v>
      </c>
      <c r="D16" s="24">
        <f t="shared" si="2"/>
        <v>0</v>
      </c>
      <c r="E16" s="41">
        <f>E15*(1+Summary!$G$15)</f>
        <v>9.1460386101126764E-2</v>
      </c>
      <c r="F16" s="41">
        <f t="shared" si="3"/>
        <v>0</v>
      </c>
      <c r="G16" s="22"/>
      <c r="H16" s="24">
        <f t="shared" si="7"/>
        <v>0</v>
      </c>
      <c r="I16" s="24">
        <f>I15*(1-Summary!$G$19)*(1+Summary!$G$15)</f>
        <v>0</v>
      </c>
      <c r="J16" s="24">
        <f t="shared" si="1"/>
        <v>0</v>
      </c>
      <c r="K16" s="24">
        <f t="shared" si="4"/>
        <v>0</v>
      </c>
      <c r="L16" s="24">
        <f t="shared" si="5"/>
        <v>0</v>
      </c>
      <c r="M16" s="24">
        <f>K16/(1+Summary!$G$16)^($A16-1)</f>
        <v>0</v>
      </c>
      <c r="N16" s="24">
        <f t="shared" si="6"/>
        <v>0</v>
      </c>
    </row>
    <row r="17" spans="1:15" x14ac:dyDescent="0.4">
      <c r="A17" s="43">
        <v>15</v>
      </c>
      <c r="B17" s="44">
        <f>B16*(1-Summary!$G$19)</f>
        <v>0</v>
      </c>
      <c r="C17" s="45">
        <f>IF(A17&gt;Summary!$K$31,0,(C16*(1+Summary!$K$29)))</f>
        <v>0</v>
      </c>
      <c r="D17" s="46">
        <f t="shared" si="2"/>
        <v>0</v>
      </c>
      <c r="E17" s="47">
        <f>E16*(1+Summary!$G$15)</f>
        <v>9.381091802392573E-2</v>
      </c>
      <c r="F17" s="47">
        <f t="shared" si="3"/>
        <v>0</v>
      </c>
      <c r="G17" s="48"/>
      <c r="H17" s="46">
        <f t="shared" si="7"/>
        <v>0</v>
      </c>
      <c r="I17" s="46">
        <f>I16*(1-Summary!$G$19)*(1+Summary!$G$15)</f>
        <v>0</v>
      </c>
      <c r="J17" s="46">
        <f t="shared" si="1"/>
        <v>0</v>
      </c>
      <c r="K17" s="81">
        <f t="shared" si="4"/>
        <v>0</v>
      </c>
      <c r="L17" s="46">
        <f t="shared" si="5"/>
        <v>0</v>
      </c>
      <c r="M17" s="46">
        <f>K17/(1+Summary!$G$16)^($A17-1)</f>
        <v>0</v>
      </c>
      <c r="N17" s="46">
        <f t="shared" si="6"/>
        <v>0</v>
      </c>
    </row>
    <row r="18" spans="1:15" x14ac:dyDescent="0.4">
      <c r="A18" s="23">
        <v>16</v>
      </c>
      <c r="B18" s="42">
        <f>B17*(1-Summary!$G$19)</f>
        <v>0</v>
      </c>
      <c r="C18" s="25">
        <f>IF(A18&gt;Summary!$K$31,0,(C17*(1+Summary!$K$29)))</f>
        <v>0</v>
      </c>
      <c r="D18" s="24">
        <f t="shared" si="2"/>
        <v>0</v>
      </c>
      <c r="E18" s="41">
        <f>E17*(1+Summary!$G$15)</f>
        <v>9.6221858617140624E-2</v>
      </c>
      <c r="F18" s="41">
        <f t="shared" si="3"/>
        <v>0</v>
      </c>
      <c r="G18" s="22"/>
      <c r="H18" s="24">
        <f t="shared" si="7"/>
        <v>0</v>
      </c>
      <c r="I18" s="24">
        <f>I17*(1-Summary!$G$19)*(1+Summary!$G$15)</f>
        <v>0</v>
      </c>
      <c r="J18" s="24">
        <f t="shared" si="1"/>
        <v>0</v>
      </c>
      <c r="K18" s="24">
        <f t="shared" si="4"/>
        <v>0</v>
      </c>
      <c r="L18" s="24">
        <f t="shared" si="5"/>
        <v>0</v>
      </c>
      <c r="M18" s="24">
        <f>K18/(1+Summary!$G$16)^($A18-1)</f>
        <v>0</v>
      </c>
      <c r="N18" s="24">
        <f t="shared" si="6"/>
        <v>0</v>
      </c>
    </row>
    <row r="19" spans="1:15" x14ac:dyDescent="0.4">
      <c r="A19" s="23">
        <v>17</v>
      </c>
      <c r="B19" s="42">
        <f>B18*(1-Summary!$G$19)</f>
        <v>0</v>
      </c>
      <c r="C19" s="25">
        <f>IF(A19&gt;Summary!$K$31,0,(C18*(1+Summary!$K$29)))</f>
        <v>0</v>
      </c>
      <c r="D19" s="24">
        <f t="shared" si="2"/>
        <v>0</v>
      </c>
      <c r="E19" s="41">
        <f>E18*(1+Summary!$G$15)</f>
        <v>9.8694760383601143E-2</v>
      </c>
      <c r="F19" s="41">
        <f t="shared" si="3"/>
        <v>0</v>
      </c>
      <c r="G19" s="22"/>
      <c r="H19" s="24">
        <f t="shared" si="7"/>
        <v>0</v>
      </c>
      <c r="I19" s="24">
        <f>I18*(1-Summary!$G$19)*(1+Summary!$G$15)</f>
        <v>0</v>
      </c>
      <c r="J19" s="24">
        <f t="shared" si="1"/>
        <v>0</v>
      </c>
      <c r="K19" s="24">
        <f t="shared" si="4"/>
        <v>0</v>
      </c>
      <c r="L19" s="24">
        <f t="shared" si="5"/>
        <v>0</v>
      </c>
      <c r="M19" s="24">
        <f>K19/(1+Summary!$G$16)^($A19-1)</f>
        <v>0</v>
      </c>
      <c r="N19" s="24">
        <f t="shared" si="6"/>
        <v>0</v>
      </c>
    </row>
    <row r="20" spans="1:15" x14ac:dyDescent="0.4">
      <c r="A20" s="23">
        <v>18</v>
      </c>
      <c r="B20" s="42">
        <f>B19*(1-Summary!$G$19)</f>
        <v>0</v>
      </c>
      <c r="C20" s="25">
        <f>IF(A20&gt;Summary!$K$31,0,(C19*(1+Summary!$K$29)))</f>
        <v>0</v>
      </c>
      <c r="D20" s="24">
        <f t="shared" si="2"/>
        <v>0</v>
      </c>
      <c r="E20" s="41">
        <f>E19*(1+Summary!$G$15)</f>
        <v>0.10123121572545969</v>
      </c>
      <c r="F20" s="41">
        <f t="shared" si="3"/>
        <v>0</v>
      </c>
      <c r="G20" s="22"/>
      <c r="H20" s="24">
        <f t="shared" si="7"/>
        <v>0</v>
      </c>
      <c r="I20" s="24">
        <f>I19*(1-Summary!$G$19)*(1+Summary!$G$15)</f>
        <v>0</v>
      </c>
      <c r="J20" s="24">
        <f t="shared" si="1"/>
        <v>0</v>
      </c>
      <c r="K20" s="24">
        <f t="shared" si="4"/>
        <v>0</v>
      </c>
      <c r="L20" s="24">
        <f t="shared" si="5"/>
        <v>0</v>
      </c>
      <c r="M20" s="24">
        <f>K20/(1+Summary!$G$16)^($A20-1)</f>
        <v>0</v>
      </c>
      <c r="N20" s="24">
        <f t="shared" si="6"/>
        <v>0</v>
      </c>
    </row>
    <row r="21" spans="1:15" x14ac:dyDescent="0.4">
      <c r="A21" s="23">
        <v>19</v>
      </c>
      <c r="B21" s="42">
        <f>B20*(1-Summary!$G$19)</f>
        <v>0</v>
      </c>
      <c r="C21" s="25">
        <f>IF(A21&gt;Summary!$K$31,0,(C20*(1+Summary!$K$29)))</f>
        <v>0</v>
      </c>
      <c r="D21" s="24">
        <f t="shared" si="2"/>
        <v>0</v>
      </c>
      <c r="E21" s="41">
        <f>E20*(1+Summary!$G$15)</f>
        <v>0.10383285796960401</v>
      </c>
      <c r="F21" s="41">
        <f t="shared" si="3"/>
        <v>0</v>
      </c>
      <c r="G21" s="22"/>
      <c r="H21" s="24">
        <f t="shared" si="7"/>
        <v>0</v>
      </c>
      <c r="I21" s="24">
        <f>I20*(1-Summary!$G$19)*(1+Summary!$G$15)</f>
        <v>0</v>
      </c>
      <c r="J21" s="24">
        <f t="shared" si="1"/>
        <v>0</v>
      </c>
      <c r="K21" s="24">
        <f t="shared" si="4"/>
        <v>0</v>
      </c>
      <c r="L21" s="24">
        <f t="shared" si="5"/>
        <v>0</v>
      </c>
      <c r="M21" s="24">
        <f>K21/(1+Summary!$G$16)^($A21-1)</f>
        <v>0</v>
      </c>
      <c r="N21" s="24">
        <f t="shared" si="6"/>
        <v>0</v>
      </c>
    </row>
    <row r="22" spans="1:15" x14ac:dyDescent="0.4">
      <c r="A22" s="43">
        <v>20</v>
      </c>
      <c r="B22" s="44">
        <f>B21*(1-Summary!$G$19)</f>
        <v>0</v>
      </c>
      <c r="C22" s="45">
        <f>IF(A22&gt;Summary!$K$31,0,(C21*(1+Summary!$K$29)))</f>
        <v>0</v>
      </c>
      <c r="D22" s="46">
        <f t="shared" si="2"/>
        <v>0</v>
      </c>
      <c r="E22" s="47">
        <f>E21*(1+Summary!$G$15)</f>
        <v>0.10650136241942283</v>
      </c>
      <c r="F22" s="47">
        <f t="shared" si="3"/>
        <v>0</v>
      </c>
      <c r="G22" s="48"/>
      <c r="H22" s="46">
        <f t="shared" si="7"/>
        <v>0</v>
      </c>
      <c r="I22" s="46">
        <f>I21*(1-Summary!$G$19)*(1+Summary!$G$15)</f>
        <v>0</v>
      </c>
      <c r="J22" s="46">
        <f t="shared" si="1"/>
        <v>0</v>
      </c>
      <c r="K22" s="81">
        <f t="shared" si="4"/>
        <v>0</v>
      </c>
      <c r="L22" s="46">
        <f t="shared" si="5"/>
        <v>0</v>
      </c>
      <c r="M22" s="46">
        <f>K22/(1+Summary!$G$16)^($A22-1)</f>
        <v>0</v>
      </c>
      <c r="N22" s="46">
        <f t="shared" si="6"/>
        <v>0</v>
      </c>
    </row>
    <row r="23" spans="1:15" x14ac:dyDescent="0.4">
      <c r="A23" s="23">
        <v>21</v>
      </c>
      <c r="B23" s="42">
        <f>B22*(1-Summary!$G$19)</f>
        <v>0</v>
      </c>
      <c r="C23" s="25">
        <f>IF(A23&gt;Summary!$K$31,0,(C22*(1+Summary!$K$29)))</f>
        <v>0</v>
      </c>
      <c r="D23" s="24">
        <f t="shared" si="2"/>
        <v>0</v>
      </c>
      <c r="E23" s="41">
        <f>E22*(1+Summary!$G$15)</f>
        <v>0.109238447433602</v>
      </c>
      <c r="F23" s="41">
        <f t="shared" si="3"/>
        <v>0</v>
      </c>
      <c r="G23" s="22"/>
      <c r="H23" s="24">
        <f t="shared" si="7"/>
        <v>0</v>
      </c>
      <c r="I23" s="24">
        <f>I22*(1-Summary!$G$19)*(1+Summary!$G$15)</f>
        <v>0</v>
      </c>
      <c r="J23" s="24">
        <f t="shared" si="1"/>
        <v>0</v>
      </c>
      <c r="K23" s="24">
        <f t="shared" si="4"/>
        <v>0</v>
      </c>
      <c r="L23" s="24">
        <f t="shared" si="5"/>
        <v>0</v>
      </c>
      <c r="M23" s="24">
        <f>K23/(1+Summary!$G$16)^($A23-1)</f>
        <v>0</v>
      </c>
      <c r="N23" s="24">
        <f t="shared" si="6"/>
        <v>0</v>
      </c>
    </row>
    <row r="24" spans="1:15" x14ac:dyDescent="0.4">
      <c r="A24" s="23">
        <v>22</v>
      </c>
      <c r="B24" s="42">
        <f>B23*(1-Summary!$G$19)</f>
        <v>0</v>
      </c>
      <c r="C24" s="25">
        <f>IF(A24&gt;Summary!$K$31,0,(C23*(1+Summary!$K$29)))</f>
        <v>0</v>
      </c>
      <c r="D24" s="24">
        <f t="shared" si="2"/>
        <v>0</v>
      </c>
      <c r="E24" s="41">
        <f>E23*(1+Summary!$G$15)</f>
        <v>0.11204587553264558</v>
      </c>
      <c r="F24" s="41">
        <f t="shared" si="3"/>
        <v>0</v>
      </c>
      <c r="G24" s="22"/>
      <c r="H24" s="24">
        <f t="shared" si="7"/>
        <v>0</v>
      </c>
      <c r="I24" s="24">
        <f>I23*(1-Summary!$G$19)*(1+Summary!$G$15)</f>
        <v>0</v>
      </c>
      <c r="J24" s="24">
        <f t="shared" si="1"/>
        <v>0</v>
      </c>
      <c r="K24" s="24">
        <f t="shared" si="4"/>
        <v>0</v>
      </c>
      <c r="L24" s="24">
        <f t="shared" si="5"/>
        <v>0</v>
      </c>
      <c r="M24" s="24">
        <f>K24/(1+Summary!$G$16)^($A24-1)</f>
        <v>0</v>
      </c>
      <c r="N24" s="24">
        <f t="shared" si="6"/>
        <v>0</v>
      </c>
    </row>
    <row r="25" spans="1:15" x14ac:dyDescent="0.4">
      <c r="A25" s="23">
        <v>23</v>
      </c>
      <c r="B25" s="42">
        <f>B24*(1-Summary!$G$19)</f>
        <v>0</v>
      </c>
      <c r="C25" s="25">
        <f>IF(A25&gt;Summary!$K$31,0,(C24*(1+Summary!$K$29)))</f>
        <v>0</v>
      </c>
      <c r="D25" s="24">
        <f t="shared" si="2"/>
        <v>0</v>
      </c>
      <c r="E25" s="41">
        <f>E24*(1+Summary!$G$15)</f>
        <v>0.11492545453383458</v>
      </c>
      <c r="F25" s="41">
        <f t="shared" si="3"/>
        <v>0</v>
      </c>
      <c r="G25" s="22"/>
      <c r="H25" s="24">
        <f t="shared" si="7"/>
        <v>0</v>
      </c>
      <c r="I25" s="24">
        <f>I24*(1-Summary!$G$19)*(1+Summary!$G$15)</f>
        <v>0</v>
      </c>
      <c r="J25" s="24">
        <f t="shared" si="1"/>
        <v>0</v>
      </c>
      <c r="K25" s="24">
        <f t="shared" si="4"/>
        <v>0</v>
      </c>
      <c r="L25" s="24">
        <f t="shared" si="5"/>
        <v>0</v>
      </c>
      <c r="M25" s="24">
        <f>K25/(1+Summary!$G$16)^($A25-1)</f>
        <v>0</v>
      </c>
      <c r="N25" s="24">
        <f t="shared" si="6"/>
        <v>0</v>
      </c>
    </row>
    <row r="26" spans="1:15" x14ac:dyDescent="0.4">
      <c r="A26" s="23">
        <v>24</v>
      </c>
      <c r="B26" s="42">
        <f>B25*(1-Summary!$G$19)</f>
        <v>0</v>
      </c>
      <c r="C26" s="25">
        <f>IF(A26&gt;Summary!$K$31,0,(C25*(1+Summary!$K$29)))</f>
        <v>0</v>
      </c>
      <c r="D26" s="24">
        <f t="shared" si="2"/>
        <v>0</v>
      </c>
      <c r="E26" s="41">
        <f>E25*(1+Summary!$G$15)</f>
        <v>0.11787903871535414</v>
      </c>
      <c r="F26" s="41">
        <f t="shared" si="3"/>
        <v>0</v>
      </c>
      <c r="G26" s="22"/>
      <c r="H26" s="24">
        <f t="shared" si="7"/>
        <v>0</v>
      </c>
      <c r="I26" s="24">
        <f>I25*(1-Summary!$G$19)*(1+Summary!$G$15)</f>
        <v>0</v>
      </c>
      <c r="J26" s="24">
        <f t="shared" si="1"/>
        <v>0</v>
      </c>
      <c r="K26" s="24">
        <f t="shared" si="4"/>
        <v>0</v>
      </c>
      <c r="L26" s="24">
        <f t="shared" si="5"/>
        <v>0</v>
      </c>
      <c r="M26" s="24">
        <f>K26/(1+Summary!$G$16)^($A26-1)</f>
        <v>0</v>
      </c>
      <c r="N26" s="24">
        <f t="shared" si="6"/>
        <v>0</v>
      </c>
    </row>
    <row r="27" spans="1:15" x14ac:dyDescent="0.4">
      <c r="A27" s="43">
        <v>25</v>
      </c>
      <c r="B27" s="44">
        <f>B26*(1-Summary!$G$19)</f>
        <v>0</v>
      </c>
      <c r="C27" s="45">
        <f>IF(A27&gt;Summary!$K$31,0,(C26*(1+Summary!$K$29)))</f>
        <v>0</v>
      </c>
      <c r="D27" s="46">
        <f t="shared" si="2"/>
        <v>0</v>
      </c>
      <c r="E27" s="47">
        <f>E26*(1+Summary!$G$15)</f>
        <v>0.12090853001033874</v>
      </c>
      <c r="F27" s="47">
        <f t="shared" si="3"/>
        <v>0</v>
      </c>
      <c r="G27" s="48"/>
      <c r="H27" s="46">
        <f t="shared" si="7"/>
        <v>0</v>
      </c>
      <c r="I27" s="46">
        <f>I26*(1-Summary!$G$19)*(1+Summary!$G$15)</f>
        <v>0</v>
      </c>
      <c r="J27" s="46">
        <f t="shared" si="1"/>
        <v>0</v>
      </c>
      <c r="K27" s="81">
        <f t="shared" si="4"/>
        <v>0</v>
      </c>
      <c r="L27" s="46">
        <f t="shared" si="5"/>
        <v>0</v>
      </c>
      <c r="M27" s="46">
        <f>K27/(1+Summary!$G$16)^($A27-1)</f>
        <v>0</v>
      </c>
      <c r="N27" s="46">
        <f t="shared" si="6"/>
        <v>0</v>
      </c>
    </row>
    <row r="28" spans="1:15" x14ac:dyDescent="0.4">
      <c r="A28" s="23">
        <v>26</v>
      </c>
      <c r="B28" s="42">
        <f>B27*(1-Summary!$G$19)</f>
        <v>0</v>
      </c>
      <c r="C28" s="25">
        <f>IF(A28&gt;Summary!$K$31,0,(C27*(1+Summary!$K$29)))</f>
        <v>0</v>
      </c>
      <c r="D28" s="24">
        <f t="shared" si="2"/>
        <v>0</v>
      </c>
      <c r="E28" s="41">
        <f>E27*(1+Summary!$G$15)</f>
        <v>0.12401587923160445</v>
      </c>
      <c r="F28" s="41">
        <f t="shared" si="3"/>
        <v>0</v>
      </c>
      <c r="G28" s="22"/>
      <c r="H28" s="24">
        <f t="shared" si="7"/>
        <v>0</v>
      </c>
      <c r="I28" s="24">
        <f>I27*(1-Summary!$G$19)*(1+Summary!$G$15)</f>
        <v>0</v>
      </c>
      <c r="J28" s="24">
        <f t="shared" si="1"/>
        <v>0</v>
      </c>
      <c r="K28" s="24">
        <f t="shared" si="4"/>
        <v>0</v>
      </c>
      <c r="L28" s="24">
        <f t="shared" si="5"/>
        <v>0</v>
      </c>
      <c r="M28" s="24">
        <f>K28/(1+Summary!$G$16)^($A28-1)</f>
        <v>0</v>
      </c>
      <c r="N28" s="24">
        <f t="shared" si="6"/>
        <v>0</v>
      </c>
    </row>
    <row r="29" spans="1:15" x14ac:dyDescent="0.4">
      <c r="A29" s="23">
        <v>27</v>
      </c>
      <c r="B29" s="42">
        <f>B28*(1-Summary!$G$19)</f>
        <v>0</v>
      </c>
      <c r="C29" s="25">
        <f>IF(A29&gt;Summary!$K$31,0,(C28*(1+Summary!$K$29)))</f>
        <v>0</v>
      </c>
      <c r="D29" s="24">
        <f t="shared" si="2"/>
        <v>0</v>
      </c>
      <c r="E29" s="41">
        <f>E28*(1+Summary!$G$15)</f>
        <v>0.12720308732785671</v>
      </c>
      <c r="F29" s="41">
        <f t="shared" si="3"/>
        <v>0</v>
      </c>
      <c r="G29" s="22"/>
      <c r="H29" s="24">
        <f t="shared" si="7"/>
        <v>0</v>
      </c>
      <c r="I29" s="24">
        <f>I28*(1-Summary!$G$19)*(1+Summary!$G$15)</f>
        <v>0</v>
      </c>
      <c r="J29" s="24">
        <f t="shared" si="1"/>
        <v>0</v>
      </c>
      <c r="K29" s="24">
        <f t="shared" si="4"/>
        <v>0</v>
      </c>
      <c r="L29" s="24">
        <f t="shared" si="5"/>
        <v>0</v>
      </c>
      <c r="M29" s="24">
        <f>K29/(1+Summary!$G$16)^($A29-1)</f>
        <v>0</v>
      </c>
      <c r="N29" s="24">
        <f t="shared" si="6"/>
        <v>0</v>
      </c>
    </row>
    <row r="30" spans="1:15" x14ac:dyDescent="0.4">
      <c r="A30" s="23">
        <v>28</v>
      </c>
      <c r="B30" s="42">
        <f>B29*(1-Summary!$G$19)</f>
        <v>0</v>
      </c>
      <c r="C30" s="25">
        <f>IF(A30&gt;Summary!$K$31,0,(C29*(1+Summary!$K$29)))</f>
        <v>0</v>
      </c>
      <c r="D30" s="24">
        <f t="shared" si="2"/>
        <v>0</v>
      </c>
      <c r="E30" s="41">
        <f>E29*(1+Summary!$G$15)</f>
        <v>0.13047220667218262</v>
      </c>
      <c r="F30" s="41">
        <f t="shared" si="3"/>
        <v>0</v>
      </c>
      <c r="G30" s="22"/>
      <c r="H30" s="24">
        <f t="shared" si="7"/>
        <v>0</v>
      </c>
      <c r="I30" s="24">
        <f>I29*(1-Summary!$G$19)*(1+Summary!$G$15)</f>
        <v>0</v>
      </c>
      <c r="J30" s="24">
        <f t="shared" si="1"/>
        <v>0</v>
      </c>
      <c r="K30" s="24">
        <f t="shared" si="4"/>
        <v>0</v>
      </c>
      <c r="L30" s="24">
        <f t="shared" si="5"/>
        <v>0</v>
      </c>
      <c r="M30" s="24">
        <f>K30/(1+Summary!$G$16)^($A30-1)</f>
        <v>0</v>
      </c>
      <c r="N30" s="24">
        <f t="shared" si="6"/>
        <v>0</v>
      </c>
    </row>
    <row r="31" spans="1:15" x14ac:dyDescent="0.4">
      <c r="A31" s="23">
        <v>29</v>
      </c>
      <c r="B31" s="42">
        <f>B30*(1-Summary!$G$19)</f>
        <v>0</v>
      </c>
      <c r="C31" s="25">
        <f>IF(A31&gt;Summary!$K$31,0,(C30*(1+Summary!$K$29)))</f>
        <v>0</v>
      </c>
      <c r="D31" s="24">
        <f t="shared" si="2"/>
        <v>0</v>
      </c>
      <c r="E31" s="41">
        <f>E30*(1+Summary!$G$15)</f>
        <v>0.13382534238365773</v>
      </c>
      <c r="F31" s="41">
        <f t="shared" si="3"/>
        <v>0</v>
      </c>
      <c r="G31" s="22"/>
      <c r="H31" s="24">
        <f t="shared" si="7"/>
        <v>0</v>
      </c>
      <c r="I31" s="24">
        <f>I30*(1-Summary!$G$19)*(1+Summary!$G$15)</f>
        <v>0</v>
      </c>
      <c r="J31" s="24">
        <f t="shared" si="1"/>
        <v>0</v>
      </c>
      <c r="K31" s="24">
        <f t="shared" si="4"/>
        <v>0</v>
      </c>
      <c r="L31" s="24">
        <f t="shared" si="5"/>
        <v>0</v>
      </c>
      <c r="M31" s="24">
        <f>K31/(1+Summary!$G$16)^($A31-1)</f>
        <v>0</v>
      </c>
      <c r="N31" s="24">
        <f t="shared" si="6"/>
        <v>0</v>
      </c>
    </row>
    <row r="32" spans="1:15" x14ac:dyDescent="0.4">
      <c r="A32" s="43">
        <v>30</v>
      </c>
      <c r="B32" s="44">
        <f>B31*(1-Summary!$G$19)</f>
        <v>0</v>
      </c>
      <c r="C32" s="45">
        <f>IF(A32&gt;Summary!$K$31,0,(C31*(1+Summary!$K$29)))</f>
        <v>0</v>
      </c>
      <c r="D32" s="46">
        <f t="shared" si="2"/>
        <v>0</v>
      </c>
      <c r="E32" s="47">
        <f>E31*(1+Summary!$G$15)</f>
        <v>0.13726465368291774</v>
      </c>
      <c r="F32" s="47">
        <f t="shared" si="3"/>
        <v>0</v>
      </c>
      <c r="G32" s="48"/>
      <c r="H32" s="46">
        <f t="shared" si="7"/>
        <v>0</v>
      </c>
      <c r="I32" s="46">
        <f>I31*(1-Summary!$G$19)*(1+Summary!$G$15)</f>
        <v>0</v>
      </c>
      <c r="J32" s="46">
        <f t="shared" si="1"/>
        <v>0</v>
      </c>
      <c r="K32" s="81">
        <f t="shared" si="4"/>
        <v>0</v>
      </c>
      <c r="L32" s="46">
        <f t="shared" si="5"/>
        <v>0</v>
      </c>
      <c r="M32" s="46">
        <f>K32/(1+Summary!$G$16)^($A32-1)</f>
        <v>0</v>
      </c>
      <c r="N32" s="46">
        <f t="shared" si="6"/>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7C80"/>
  </sheetPr>
  <dimension ref="A1:T54"/>
  <sheetViews>
    <sheetView zoomScale="70" zoomScaleNormal="70" workbookViewId="0">
      <selection activeCell="C7" sqref="C7"/>
    </sheetView>
  </sheetViews>
  <sheetFormatPr defaultColWidth="9.15234375" defaultRowHeight="14.6" x14ac:dyDescent="0.4"/>
  <cols>
    <col min="1" max="1" width="25.84375" style="21" customWidth="1"/>
    <col min="2" max="2" width="14.3046875" style="21" customWidth="1"/>
    <col min="3" max="3" width="11.15234375" style="21" customWidth="1"/>
    <col min="4" max="4" width="10.53515625" style="21" bestFit="1" customWidth="1"/>
    <col min="5" max="5" width="11.69140625" style="21" bestFit="1" customWidth="1"/>
    <col min="6" max="6" width="12.15234375" style="21" bestFit="1" customWidth="1"/>
    <col min="7" max="7" width="16.69140625" style="21" bestFit="1" customWidth="1"/>
    <col min="8" max="8" width="14.15234375" style="21" bestFit="1" customWidth="1"/>
    <col min="9" max="9" width="11.53515625" style="21" bestFit="1" customWidth="1"/>
    <col min="10" max="10" width="6" style="88" customWidth="1"/>
    <col min="11" max="11" width="10.15234375" style="21" bestFit="1" customWidth="1"/>
    <col min="12" max="12" width="29.69140625" style="21" bestFit="1" customWidth="1"/>
    <col min="13" max="20" width="18.15234375" style="21" customWidth="1"/>
    <col min="21" max="16384" width="9.15234375" style="21"/>
  </cols>
  <sheetData>
    <row r="1" spans="1:20" ht="24.75" customHeight="1" x14ac:dyDescent="0.55000000000000004">
      <c r="A1" s="207" t="s">
        <v>98</v>
      </c>
      <c r="B1" s="207"/>
      <c r="C1" s="207"/>
      <c r="D1" s="207"/>
      <c r="E1" s="207"/>
      <c r="F1" s="207"/>
      <c r="G1" s="207"/>
      <c r="H1" s="207"/>
      <c r="I1" s="207"/>
      <c r="J1" s="144"/>
      <c r="K1" s="140" t="s">
        <v>145</v>
      </c>
      <c r="L1" s="127"/>
      <c r="M1" s="127"/>
      <c r="N1" s="127"/>
      <c r="O1" s="127"/>
      <c r="P1" s="127"/>
      <c r="Q1" s="127"/>
      <c r="R1" s="127"/>
      <c r="S1" s="127"/>
      <c r="T1" s="127"/>
    </row>
    <row r="2" spans="1:20" ht="18" customHeight="1" x14ac:dyDescent="0.4">
      <c r="A2" s="78"/>
      <c r="B2" s="108" t="str">
        <f>Summary!D24</f>
        <v>EXAMPLE SITE 1</v>
      </c>
      <c r="C2" s="108" t="str">
        <f>Summary!E24</f>
        <v>EXAMPLE SITE 2</v>
      </c>
      <c r="D2" s="108" t="str">
        <f>Summary!F24</f>
        <v>EXAMPLE SITE 3</v>
      </c>
      <c r="E2" s="108" t="str">
        <f>Summary!G24</f>
        <v>SITE 4</v>
      </c>
      <c r="F2" s="108" t="str">
        <f>Summary!H24</f>
        <v>SITE 5</v>
      </c>
      <c r="G2" s="108" t="str">
        <f>Summary!I24</f>
        <v>SITE 6</v>
      </c>
      <c r="H2" s="108" t="str">
        <f>Summary!J24</f>
        <v>SITE 7</v>
      </c>
      <c r="I2" s="130" t="str">
        <f>Summary!K24</f>
        <v>SITE 8</v>
      </c>
      <c r="J2" s="89"/>
      <c r="K2" s="141"/>
      <c r="L2" s="94"/>
      <c r="M2" s="116"/>
      <c r="N2" s="116"/>
      <c r="O2" s="116"/>
      <c r="P2" s="116"/>
      <c r="Q2" s="116"/>
      <c r="R2" s="116"/>
      <c r="S2" s="116"/>
      <c r="T2" s="116"/>
    </row>
    <row r="3" spans="1:20" x14ac:dyDescent="0.4">
      <c r="A3" s="109"/>
      <c r="B3" s="112" t="s">
        <v>12</v>
      </c>
      <c r="C3" s="112" t="s">
        <v>12</v>
      </c>
      <c r="D3" s="112" t="s">
        <v>12</v>
      </c>
      <c r="E3" s="112" t="s">
        <v>12</v>
      </c>
      <c r="F3" s="112" t="s">
        <v>12</v>
      </c>
      <c r="G3" s="112" t="s">
        <v>12</v>
      </c>
      <c r="H3" s="112" t="s">
        <v>12</v>
      </c>
      <c r="I3" s="131" t="s">
        <v>12</v>
      </c>
      <c r="J3" s="145"/>
      <c r="K3" s="142"/>
      <c r="L3" s="78" t="s">
        <v>101</v>
      </c>
      <c r="M3" s="112" t="s">
        <v>100</v>
      </c>
      <c r="N3" s="112" t="s">
        <v>100</v>
      </c>
      <c r="O3" s="112" t="s">
        <v>100</v>
      </c>
      <c r="P3" s="112" t="s">
        <v>100</v>
      </c>
      <c r="Q3" s="112" t="s">
        <v>100</v>
      </c>
      <c r="R3" s="112" t="s">
        <v>100</v>
      </c>
      <c r="S3" s="112" t="s">
        <v>100</v>
      </c>
      <c r="T3" s="112" t="s">
        <v>100</v>
      </c>
    </row>
    <row r="4" spans="1:20" x14ac:dyDescent="0.4">
      <c r="A4" s="78" t="s">
        <v>70</v>
      </c>
      <c r="B4" s="157">
        <v>106200</v>
      </c>
      <c r="C4" s="157">
        <v>37504</v>
      </c>
      <c r="D4" s="110">
        <v>34240</v>
      </c>
      <c r="E4" s="110"/>
      <c r="F4" s="110"/>
      <c r="G4" s="111"/>
      <c r="H4" s="110"/>
      <c r="I4" s="132"/>
      <c r="J4" s="102"/>
      <c r="K4" s="143" t="s">
        <v>70</v>
      </c>
      <c r="L4" s="128">
        <v>1.9911402453076589E-3</v>
      </c>
      <c r="M4" s="129">
        <f t="shared" ref="M4:M15" si="0">$L4*B4</f>
        <v>211.45909405167339</v>
      </c>
      <c r="N4" s="129">
        <f t="shared" ref="N4:N15" si="1">$L4*C4</f>
        <v>74.675723760018442</v>
      </c>
      <c r="O4" s="129">
        <f t="shared" ref="O4:O15" si="2">$L4*D4</f>
        <v>68.176641999334237</v>
      </c>
      <c r="P4" s="129">
        <f t="shared" ref="P4:P15" si="3">$L4*E4</f>
        <v>0</v>
      </c>
      <c r="Q4" s="129">
        <f t="shared" ref="Q4:Q15" si="4">$L4*F4</f>
        <v>0</v>
      </c>
      <c r="R4" s="129">
        <f t="shared" ref="R4:R15" si="5">$L4*G4</f>
        <v>0</v>
      </c>
      <c r="S4" s="129">
        <f t="shared" ref="S4:S15" si="6">$L4*H4</f>
        <v>0</v>
      </c>
      <c r="T4" s="129">
        <f t="shared" ref="T4:T15" si="7">$L4*I4</f>
        <v>0</v>
      </c>
    </row>
    <row r="5" spans="1:20" x14ac:dyDescent="0.4">
      <c r="A5" s="78" t="s">
        <v>71</v>
      </c>
      <c r="B5" s="157">
        <v>120000</v>
      </c>
      <c r="C5" s="157">
        <v>40691</v>
      </c>
      <c r="D5" s="110">
        <v>38080</v>
      </c>
      <c r="E5" s="110"/>
      <c r="F5" s="110"/>
      <c r="G5" s="111"/>
      <c r="H5" s="110"/>
      <c r="I5" s="132"/>
      <c r="J5" s="102"/>
      <c r="K5" s="143" t="s">
        <v>71</v>
      </c>
      <c r="L5" s="128">
        <v>2.2835515327837941E-3</v>
      </c>
      <c r="M5" s="129">
        <f t="shared" si="0"/>
        <v>274.02618393405527</v>
      </c>
      <c r="N5" s="129">
        <f t="shared" si="1"/>
        <v>92.919995420505359</v>
      </c>
      <c r="O5" s="129">
        <f t="shared" si="2"/>
        <v>86.95764236840688</v>
      </c>
      <c r="P5" s="129">
        <f t="shared" si="3"/>
        <v>0</v>
      </c>
      <c r="Q5" s="129">
        <f t="shared" si="4"/>
        <v>0</v>
      </c>
      <c r="R5" s="129">
        <f t="shared" si="5"/>
        <v>0</v>
      </c>
      <c r="S5" s="129">
        <f t="shared" si="6"/>
        <v>0</v>
      </c>
      <c r="T5" s="129">
        <f t="shared" si="7"/>
        <v>0</v>
      </c>
    </row>
    <row r="6" spans="1:20" x14ac:dyDescent="0.4">
      <c r="A6" s="78" t="s">
        <v>72</v>
      </c>
      <c r="B6" s="157">
        <v>103500</v>
      </c>
      <c r="C6" s="157">
        <v>37722</v>
      </c>
      <c r="D6" s="110">
        <v>34400</v>
      </c>
      <c r="E6" s="110"/>
      <c r="F6" s="110"/>
      <c r="G6" s="111"/>
      <c r="H6" s="110"/>
      <c r="I6" s="132"/>
      <c r="J6" s="102"/>
      <c r="K6" s="143" t="s">
        <v>72</v>
      </c>
      <c r="L6" s="128">
        <v>1.9628217349857008E-3</v>
      </c>
      <c r="M6" s="129">
        <f t="shared" si="0"/>
        <v>203.15204957102003</v>
      </c>
      <c r="N6" s="129">
        <f t="shared" si="1"/>
        <v>74.041561487130608</v>
      </c>
      <c r="O6" s="129">
        <f t="shared" si="2"/>
        <v>67.521067683508107</v>
      </c>
      <c r="P6" s="129">
        <f t="shared" si="3"/>
        <v>0</v>
      </c>
      <c r="Q6" s="129">
        <f t="shared" si="4"/>
        <v>0</v>
      </c>
      <c r="R6" s="129">
        <f t="shared" si="5"/>
        <v>0</v>
      </c>
      <c r="S6" s="129">
        <f t="shared" si="6"/>
        <v>0</v>
      </c>
      <c r="T6" s="129">
        <f t="shared" si="7"/>
        <v>0</v>
      </c>
    </row>
    <row r="7" spans="1:20" x14ac:dyDescent="0.4">
      <c r="A7" s="78" t="s">
        <v>73</v>
      </c>
      <c r="B7" s="157">
        <v>96000</v>
      </c>
      <c r="C7" s="157">
        <v>35981</v>
      </c>
      <c r="D7" s="110">
        <v>28160</v>
      </c>
      <c r="E7" s="110"/>
      <c r="F7" s="110"/>
      <c r="G7" s="111"/>
      <c r="H7" s="110"/>
      <c r="I7" s="132"/>
      <c r="J7" s="102"/>
      <c r="K7" s="143" t="s">
        <v>73</v>
      </c>
      <c r="L7" s="128">
        <v>2.1627714522158494E-3</v>
      </c>
      <c r="M7" s="129">
        <f t="shared" si="0"/>
        <v>207.62605941272153</v>
      </c>
      <c r="N7" s="129">
        <f t="shared" si="1"/>
        <v>77.818679622178479</v>
      </c>
      <c r="O7" s="129">
        <f t="shared" si="2"/>
        <v>60.903644094398317</v>
      </c>
      <c r="P7" s="129">
        <f t="shared" si="3"/>
        <v>0</v>
      </c>
      <c r="Q7" s="129">
        <f t="shared" si="4"/>
        <v>0</v>
      </c>
      <c r="R7" s="129">
        <f t="shared" si="5"/>
        <v>0</v>
      </c>
      <c r="S7" s="129">
        <f t="shared" si="6"/>
        <v>0</v>
      </c>
      <c r="T7" s="129">
        <f t="shared" si="7"/>
        <v>0</v>
      </c>
    </row>
    <row r="8" spans="1:20" x14ac:dyDescent="0.4">
      <c r="A8" s="78" t="s">
        <v>74</v>
      </c>
      <c r="B8" s="157">
        <v>117300</v>
      </c>
      <c r="C8" s="157">
        <v>38466</v>
      </c>
      <c r="D8" s="110">
        <v>29600</v>
      </c>
      <c r="E8" s="110"/>
      <c r="F8" s="110"/>
      <c r="G8" s="111"/>
      <c r="H8" s="110"/>
      <c r="I8" s="132"/>
      <c r="J8" s="102"/>
      <c r="K8" s="143" t="s">
        <v>74</v>
      </c>
      <c r="L8" s="128">
        <v>1.9784848312368376E-3</v>
      </c>
      <c r="M8" s="129">
        <f t="shared" si="0"/>
        <v>232.07627070408105</v>
      </c>
      <c r="N8" s="129">
        <f t="shared" si="1"/>
        <v>76.104397518356194</v>
      </c>
      <c r="O8" s="129">
        <f t="shared" si="2"/>
        <v>58.56315100461039</v>
      </c>
      <c r="P8" s="129">
        <f t="shared" si="3"/>
        <v>0</v>
      </c>
      <c r="Q8" s="129">
        <f t="shared" si="4"/>
        <v>0</v>
      </c>
      <c r="R8" s="129">
        <f t="shared" si="5"/>
        <v>0</v>
      </c>
      <c r="S8" s="129">
        <f t="shared" si="6"/>
        <v>0</v>
      </c>
      <c r="T8" s="129">
        <f t="shared" si="7"/>
        <v>0</v>
      </c>
    </row>
    <row r="9" spans="1:20" x14ac:dyDescent="0.4">
      <c r="A9" s="78" t="s">
        <v>75</v>
      </c>
      <c r="B9" s="157">
        <v>122400</v>
      </c>
      <c r="C9" s="157">
        <v>38742</v>
      </c>
      <c r="D9" s="110">
        <v>29120</v>
      </c>
      <c r="E9" s="110"/>
      <c r="F9" s="110"/>
      <c r="G9" s="111"/>
      <c r="H9" s="110"/>
      <c r="I9" s="132"/>
      <c r="J9" s="102"/>
      <c r="K9" s="143" t="s">
        <v>75</v>
      </c>
      <c r="L9" s="128">
        <v>2.2150143163922691E-3</v>
      </c>
      <c r="M9" s="129">
        <f t="shared" si="0"/>
        <v>271.11775232641372</v>
      </c>
      <c r="N9" s="129">
        <f t="shared" si="1"/>
        <v>85.814084645669297</v>
      </c>
      <c r="O9" s="129">
        <f t="shared" si="2"/>
        <v>64.501216893342871</v>
      </c>
      <c r="P9" s="129">
        <f t="shared" si="3"/>
        <v>0</v>
      </c>
      <c r="Q9" s="129">
        <f t="shared" si="4"/>
        <v>0</v>
      </c>
      <c r="R9" s="129">
        <f t="shared" si="5"/>
        <v>0</v>
      </c>
      <c r="S9" s="129">
        <f t="shared" si="6"/>
        <v>0</v>
      </c>
      <c r="T9" s="129">
        <f t="shared" si="7"/>
        <v>0</v>
      </c>
    </row>
    <row r="10" spans="1:20" x14ac:dyDescent="0.4">
      <c r="A10" s="78" t="s">
        <v>76</v>
      </c>
      <c r="B10" s="157">
        <v>131100</v>
      </c>
      <c r="C10" s="157">
        <v>38511</v>
      </c>
      <c r="D10" s="110">
        <v>30720</v>
      </c>
      <c r="E10" s="110"/>
      <c r="F10" s="110"/>
      <c r="G10" s="111"/>
      <c r="H10" s="110"/>
      <c r="I10" s="132"/>
      <c r="J10" s="102"/>
      <c r="K10" s="143" t="s">
        <v>76</v>
      </c>
      <c r="L10" s="128">
        <v>2.0754479459527508E-3</v>
      </c>
      <c r="M10" s="129">
        <f t="shared" si="0"/>
        <v>272.09122571440565</v>
      </c>
      <c r="N10" s="129">
        <f t="shared" si="1"/>
        <v>79.927575846586393</v>
      </c>
      <c r="O10" s="129">
        <f t="shared" si="2"/>
        <v>63.757760899668504</v>
      </c>
      <c r="P10" s="129">
        <f t="shared" si="3"/>
        <v>0</v>
      </c>
      <c r="Q10" s="129">
        <f t="shared" si="4"/>
        <v>0</v>
      </c>
      <c r="R10" s="129">
        <f t="shared" si="5"/>
        <v>0</v>
      </c>
      <c r="S10" s="129">
        <f t="shared" si="6"/>
        <v>0</v>
      </c>
      <c r="T10" s="129">
        <f t="shared" si="7"/>
        <v>0</v>
      </c>
    </row>
    <row r="11" spans="1:20" x14ac:dyDescent="0.4">
      <c r="A11" s="78" t="s">
        <v>77</v>
      </c>
      <c r="B11" s="157">
        <v>127200</v>
      </c>
      <c r="C11" s="157">
        <v>35703</v>
      </c>
      <c r="D11" s="110">
        <v>31840</v>
      </c>
      <c r="E11" s="110"/>
      <c r="F11" s="110"/>
      <c r="G11" s="111"/>
      <c r="H11" s="110"/>
      <c r="I11" s="132"/>
      <c r="J11" s="102"/>
      <c r="K11" s="143" t="s">
        <v>77</v>
      </c>
      <c r="L11" s="128">
        <v>2.0250765417699373E-3</v>
      </c>
      <c r="M11" s="129">
        <f t="shared" si="0"/>
        <v>257.58973611313604</v>
      </c>
      <c r="N11" s="129">
        <f t="shared" si="1"/>
        <v>72.301307770812073</v>
      </c>
      <c r="O11" s="129">
        <f t="shared" si="2"/>
        <v>64.478437089954809</v>
      </c>
      <c r="P11" s="129">
        <f t="shared" si="3"/>
        <v>0</v>
      </c>
      <c r="Q11" s="129">
        <f t="shared" si="4"/>
        <v>0</v>
      </c>
      <c r="R11" s="129">
        <f t="shared" si="5"/>
        <v>0</v>
      </c>
      <c r="S11" s="129">
        <f t="shared" si="6"/>
        <v>0</v>
      </c>
      <c r="T11" s="129">
        <f t="shared" si="7"/>
        <v>0</v>
      </c>
    </row>
    <row r="12" spans="1:20" x14ac:dyDescent="0.4">
      <c r="A12" s="78" t="s">
        <v>78</v>
      </c>
      <c r="B12" s="157">
        <v>124500</v>
      </c>
      <c r="C12" s="157">
        <v>40396</v>
      </c>
      <c r="D12" s="110">
        <v>29760</v>
      </c>
      <c r="E12" s="110"/>
      <c r="F12" s="110"/>
      <c r="G12" s="111"/>
      <c r="H12" s="110"/>
      <c r="I12" s="132"/>
      <c r="J12" s="102"/>
      <c r="K12" s="143" t="s">
        <v>78</v>
      </c>
      <c r="L12" s="128">
        <v>2.2696311268317333E-3</v>
      </c>
      <c r="M12" s="129">
        <f t="shared" si="0"/>
        <v>282.56907529055081</v>
      </c>
      <c r="N12" s="129">
        <f t="shared" si="1"/>
        <v>91.684018999494697</v>
      </c>
      <c r="O12" s="129">
        <f t="shared" si="2"/>
        <v>67.544222334512384</v>
      </c>
      <c r="P12" s="129">
        <f t="shared" si="3"/>
        <v>0</v>
      </c>
      <c r="Q12" s="129">
        <f t="shared" si="4"/>
        <v>0</v>
      </c>
      <c r="R12" s="129">
        <f t="shared" si="5"/>
        <v>0</v>
      </c>
      <c r="S12" s="129">
        <f t="shared" si="6"/>
        <v>0</v>
      </c>
      <c r="T12" s="129">
        <f t="shared" si="7"/>
        <v>0</v>
      </c>
    </row>
    <row r="13" spans="1:20" x14ac:dyDescent="0.4">
      <c r="A13" s="78" t="s">
        <v>79</v>
      </c>
      <c r="B13" s="157">
        <v>100800</v>
      </c>
      <c r="C13" s="157">
        <v>33692</v>
      </c>
      <c r="D13" s="110">
        <v>31200</v>
      </c>
      <c r="E13" s="110"/>
      <c r="F13" s="110"/>
      <c r="G13" s="111"/>
      <c r="H13" s="110"/>
      <c r="I13" s="132"/>
      <c r="J13" s="102"/>
      <c r="K13" s="143" t="s">
        <v>79</v>
      </c>
      <c r="L13" s="128">
        <v>2.0033040447316824E-3</v>
      </c>
      <c r="M13" s="129">
        <f t="shared" si="0"/>
        <v>201.93304770895358</v>
      </c>
      <c r="N13" s="129">
        <f t="shared" si="1"/>
        <v>67.495319875099838</v>
      </c>
      <c r="O13" s="129">
        <f t="shared" si="2"/>
        <v>62.503086195628491</v>
      </c>
      <c r="P13" s="129">
        <f t="shared" si="3"/>
        <v>0</v>
      </c>
      <c r="Q13" s="129">
        <f t="shared" si="4"/>
        <v>0</v>
      </c>
      <c r="R13" s="129">
        <f t="shared" si="5"/>
        <v>0</v>
      </c>
      <c r="S13" s="129">
        <f t="shared" si="6"/>
        <v>0</v>
      </c>
      <c r="T13" s="129">
        <f t="shared" si="7"/>
        <v>0</v>
      </c>
    </row>
    <row r="14" spans="1:20" x14ac:dyDescent="0.4">
      <c r="A14" s="78" t="s">
        <v>80</v>
      </c>
      <c r="B14" s="157">
        <v>113400</v>
      </c>
      <c r="C14" s="157">
        <v>36999</v>
      </c>
      <c r="D14" s="110">
        <v>35520</v>
      </c>
      <c r="E14" s="110"/>
      <c r="F14" s="110"/>
      <c r="G14" s="111"/>
      <c r="H14" s="110"/>
      <c r="I14" s="132"/>
      <c r="J14" s="102"/>
      <c r="K14" s="143" t="s">
        <v>80</v>
      </c>
      <c r="L14" s="128">
        <v>2.1373343151693666E-3</v>
      </c>
      <c r="M14" s="129">
        <f t="shared" si="0"/>
        <v>242.37371134020617</v>
      </c>
      <c r="N14" s="129">
        <f t="shared" si="1"/>
        <v>79.079232326951399</v>
      </c>
      <c r="O14" s="129">
        <f t="shared" si="2"/>
        <v>75.918114874815899</v>
      </c>
      <c r="P14" s="129">
        <f t="shared" si="3"/>
        <v>0</v>
      </c>
      <c r="Q14" s="129">
        <f t="shared" si="4"/>
        <v>0</v>
      </c>
      <c r="R14" s="129">
        <f t="shared" si="5"/>
        <v>0</v>
      </c>
      <c r="S14" s="129">
        <f t="shared" si="6"/>
        <v>0</v>
      </c>
      <c r="T14" s="129">
        <f t="shared" si="7"/>
        <v>0</v>
      </c>
    </row>
    <row r="15" spans="1:20" x14ac:dyDescent="0.4">
      <c r="A15" s="78" t="s">
        <v>81</v>
      </c>
      <c r="B15" s="157">
        <v>120000</v>
      </c>
      <c r="C15" s="157">
        <v>33212</v>
      </c>
      <c r="D15" s="110">
        <v>41280</v>
      </c>
      <c r="E15" s="110"/>
      <c r="F15" s="110"/>
      <c r="G15" s="111"/>
      <c r="H15" s="110"/>
      <c r="I15" s="132"/>
      <c r="J15" s="102"/>
      <c r="K15" s="143" t="s">
        <v>81</v>
      </c>
      <c r="L15" s="128">
        <v>1.9654515778019586E-3</v>
      </c>
      <c r="M15" s="129">
        <f t="shared" si="0"/>
        <v>235.85418933623504</v>
      </c>
      <c r="N15" s="129">
        <f t="shared" si="1"/>
        <v>65.276577801958652</v>
      </c>
      <c r="O15" s="129">
        <f t="shared" si="2"/>
        <v>81.133841131664852</v>
      </c>
      <c r="P15" s="129">
        <f t="shared" si="3"/>
        <v>0</v>
      </c>
      <c r="Q15" s="129">
        <f t="shared" si="4"/>
        <v>0</v>
      </c>
      <c r="R15" s="129">
        <f t="shared" si="5"/>
        <v>0</v>
      </c>
      <c r="S15" s="129">
        <f t="shared" si="6"/>
        <v>0</v>
      </c>
      <c r="T15" s="129">
        <f t="shared" si="7"/>
        <v>0</v>
      </c>
    </row>
    <row r="16" spans="1:20" ht="15.9" x14ac:dyDescent="0.45">
      <c r="A16" s="117" t="s">
        <v>99</v>
      </c>
      <c r="B16" s="118">
        <f>IFERROR(Summary!D27/SUM('Demand Charge Calculations'!B4:B15),"")</f>
        <v>2.4932002314814815E-2</v>
      </c>
      <c r="C16" s="118">
        <f>IFERROR(Summary!E27/SUM('Demand Charge Calculations'!C4:C15),"")</f>
        <v>0.31294471414305469</v>
      </c>
      <c r="D16" s="118">
        <f>IFERROR(Summary!F27/SUM('Demand Charge Calculations'!D4:D15),"")</f>
        <v>1.0608346872461414</v>
      </c>
      <c r="E16" s="118" t="str">
        <f>IFERROR(Summary!G27/SUM('Demand Charge Calculations'!E4:E15),"")</f>
        <v/>
      </c>
      <c r="F16" s="118" t="str">
        <f>IFERROR(Summary!H27/SUM('Demand Charge Calculations'!F4:F15),"")</f>
        <v/>
      </c>
      <c r="G16" s="118" t="str">
        <f>IFERROR(Summary!I27/SUM('Demand Charge Calculations'!G4:G15),"")</f>
        <v/>
      </c>
      <c r="H16" s="118" t="str">
        <f>IFERROR(Summary!J27/SUM('Demand Charge Calculations'!H4:H15),"")</f>
        <v/>
      </c>
      <c r="I16" s="118" t="str">
        <f>IFERROR(Summary!K27/SUM('Demand Charge Calculations'!I4:I15),"")</f>
        <v/>
      </c>
      <c r="J16" s="146"/>
    </row>
    <row r="19" spans="1:10" x14ac:dyDescent="0.4">
      <c r="A19" s="89" t="s">
        <v>106</v>
      </c>
      <c r="B19" s="86" t="s">
        <v>107</v>
      </c>
    </row>
    <row r="20" spans="1:10" s="87" customFormat="1" ht="28.5" customHeight="1" x14ac:dyDescent="0.4">
      <c r="A20" s="113" t="s">
        <v>104</v>
      </c>
      <c r="B20" s="115">
        <v>10.71</v>
      </c>
      <c r="C20" s="115">
        <v>10.71</v>
      </c>
      <c r="D20" s="115">
        <v>10.71</v>
      </c>
      <c r="E20" s="115">
        <v>10.71</v>
      </c>
      <c r="F20" s="115">
        <v>10.71</v>
      </c>
      <c r="G20" s="115">
        <v>10.71</v>
      </c>
      <c r="H20" s="115">
        <v>10.71</v>
      </c>
      <c r="I20" s="133">
        <v>10.71</v>
      </c>
      <c r="J20" s="147"/>
    </row>
    <row r="21" spans="1:10" s="87" customFormat="1" ht="28.5" customHeight="1" x14ac:dyDescent="0.4">
      <c r="A21" s="114" t="s">
        <v>105</v>
      </c>
      <c r="B21" s="115">
        <v>15.25</v>
      </c>
      <c r="C21" s="115">
        <v>15.25</v>
      </c>
      <c r="D21" s="115">
        <v>15.25</v>
      </c>
      <c r="E21" s="115">
        <v>15.25</v>
      </c>
      <c r="F21" s="115">
        <v>15.25</v>
      </c>
      <c r="G21" s="115">
        <v>15.25</v>
      </c>
      <c r="H21" s="115">
        <v>15.25</v>
      </c>
      <c r="I21" s="133">
        <v>15.25</v>
      </c>
      <c r="J21" s="147"/>
    </row>
    <row r="22" spans="1:10" ht="12.75" customHeight="1" x14ac:dyDescent="0.4">
      <c r="A22" s="63"/>
      <c r="B22" s="65"/>
    </row>
    <row r="23" spans="1:10" ht="28.5" customHeight="1" x14ac:dyDescent="0.4">
      <c r="A23" s="207" t="s">
        <v>97</v>
      </c>
      <c r="B23" s="207"/>
      <c r="C23" s="207"/>
      <c r="D23" s="207"/>
      <c r="E23" s="207"/>
      <c r="F23" s="207"/>
      <c r="G23" s="207"/>
      <c r="H23" s="207"/>
      <c r="I23" s="207"/>
    </row>
    <row r="24" spans="1:10" x14ac:dyDescent="0.4">
      <c r="A24" s="107"/>
      <c r="B24" s="106" t="str">
        <f>B2</f>
        <v>EXAMPLE SITE 1</v>
      </c>
      <c r="C24" s="106" t="str">
        <f t="shared" ref="C24:I24" si="8">C2</f>
        <v>EXAMPLE SITE 2</v>
      </c>
      <c r="D24" s="106" t="str">
        <f t="shared" si="8"/>
        <v>EXAMPLE SITE 3</v>
      </c>
      <c r="E24" s="106" t="str">
        <f t="shared" si="8"/>
        <v>SITE 4</v>
      </c>
      <c r="F24" s="106" t="str">
        <f t="shared" si="8"/>
        <v>SITE 5</v>
      </c>
      <c r="G24" s="106" t="str">
        <f t="shared" si="8"/>
        <v>SITE 6</v>
      </c>
      <c r="H24" s="106" t="str">
        <f t="shared" si="8"/>
        <v>SITE 7</v>
      </c>
      <c r="I24" s="106" t="str">
        <f t="shared" si="8"/>
        <v>SITE 8</v>
      </c>
      <c r="J24" s="89"/>
    </row>
    <row r="25" spans="1:10" x14ac:dyDescent="0.4">
      <c r="A25" s="107" t="s">
        <v>70</v>
      </c>
      <c r="B25" s="67">
        <f>-0.008*B16^3 + 0.0434*B16^2 - 0.0742*B16 + 0.002</f>
        <v>1.7689909112540811E-4</v>
      </c>
      <c r="C25" s="67">
        <f>-0.008*C16^3 + 0.0434*C16^2 - 0.0742*C16 + 0.002</f>
        <v>-1.7215329492793675E-2</v>
      </c>
      <c r="D25" s="67">
        <f t="shared" ref="D25:I25" si="9">-0.008*D16^3 + 0.0434*D16^2 - 0.0742*D16 + 0.002</f>
        <v>-3.7423519891545021E-2</v>
      </c>
      <c r="E25" s="67" t="e">
        <f t="shared" si="9"/>
        <v>#VALUE!</v>
      </c>
      <c r="F25" s="67" t="e">
        <f t="shared" si="9"/>
        <v>#VALUE!</v>
      </c>
      <c r="G25" s="67" t="e">
        <f t="shared" si="9"/>
        <v>#VALUE!</v>
      </c>
      <c r="H25" s="67" t="e">
        <f t="shared" si="9"/>
        <v>#VALUE!</v>
      </c>
      <c r="I25" s="134" t="e">
        <f t="shared" si="9"/>
        <v>#VALUE!</v>
      </c>
      <c r="J25" s="148"/>
    </row>
    <row r="26" spans="1:10" x14ac:dyDescent="0.4">
      <c r="A26" s="107" t="s">
        <v>71</v>
      </c>
      <c r="B26" s="67">
        <f>0.0114*B16^4 - 0.0753*B16^3 + 0.1735*B16^2 - 0.1627*B16 - 0.0405</f>
        <v>-4.4449750937621428E-2</v>
      </c>
      <c r="C26" s="67">
        <f>0.0114*C16^4 - 0.0753*C16^3 + 0.1735*C16^2 - 0.1627*C16 - 0.0405</f>
        <v>-7.6622946791716995E-2</v>
      </c>
      <c r="D26" s="67">
        <f t="shared" ref="D26:I26" si="10">0.0114*D16^4 - 0.0753*D16^3 + 0.1735*D16^2 - 0.1627*D16 - 0.0405</f>
        <v>-9.330397804189558E-2</v>
      </c>
      <c r="E26" s="67" t="e">
        <f t="shared" si="10"/>
        <v>#VALUE!</v>
      </c>
      <c r="F26" s="67" t="e">
        <f t="shared" si="10"/>
        <v>#VALUE!</v>
      </c>
      <c r="G26" s="67" t="e">
        <f t="shared" si="10"/>
        <v>#VALUE!</v>
      </c>
      <c r="H26" s="67" t="e">
        <f t="shared" si="10"/>
        <v>#VALUE!</v>
      </c>
      <c r="I26" s="134" t="e">
        <f t="shared" si="10"/>
        <v>#VALUE!</v>
      </c>
      <c r="J26" s="148"/>
    </row>
    <row r="27" spans="1:10" x14ac:dyDescent="0.4">
      <c r="A27" s="107" t="s">
        <v>72</v>
      </c>
      <c r="B27" s="67">
        <f xml:space="preserve"> 0.005*B16^2 - 0.0307*B16 - 0.0467</f>
        <v>-4.7462304447367681E-2</v>
      </c>
      <c r="C27" s="67">
        <f xml:space="preserve"> 0.005*C16^2 - 0.0307*C16 - 0.0467</f>
        <v>-5.5817730753641388E-2</v>
      </c>
      <c r="D27" s="67">
        <f t="shared" ref="D27:I27" si="11" xml:space="preserve"> 0.005*D16^2 - 0.0307*D16 - 0.0467</f>
        <v>-7.3640773730133446E-2</v>
      </c>
      <c r="E27" s="67" t="e">
        <f t="shared" si="11"/>
        <v>#VALUE!</v>
      </c>
      <c r="F27" s="67" t="e">
        <f t="shared" si="11"/>
        <v>#VALUE!</v>
      </c>
      <c r="G27" s="67" t="e">
        <f t="shared" si="11"/>
        <v>#VALUE!</v>
      </c>
      <c r="H27" s="67" t="e">
        <f t="shared" si="11"/>
        <v>#VALUE!</v>
      </c>
      <c r="I27" s="134" t="e">
        <f t="shared" si="11"/>
        <v>#VALUE!</v>
      </c>
      <c r="J27" s="148"/>
    </row>
    <row r="28" spans="1:10" x14ac:dyDescent="0.4">
      <c r="A28" s="107" t="s">
        <v>73</v>
      </c>
      <c r="B28" s="67">
        <f xml:space="preserve"> 0.0203*B16^4 - 0.1409*B16^3 + 0.3477*B16^2 - 0.3577*B16 - 0.0375</f>
        <v>-4.6204221063522122E-2</v>
      </c>
      <c r="C28" s="67">
        <f xml:space="preserve"> 0.0203*C16^4 - 0.1409*C16^3 + 0.3477*C16^2 - 0.3577*C16 - 0.0375</f>
        <v>-0.11951214554384723</v>
      </c>
      <c r="D28" s="67">
        <f t="shared" ref="D28:I28" si="12" xml:space="preserve"> 0.0203*D16^4 - 0.1409*D16^3 + 0.3477*D16^2 - 0.3577*D16 - 0.0375</f>
        <v>-0.16817113446062457</v>
      </c>
      <c r="E28" s="67" t="e">
        <f t="shared" si="12"/>
        <v>#VALUE!</v>
      </c>
      <c r="F28" s="67" t="e">
        <f t="shared" si="12"/>
        <v>#VALUE!</v>
      </c>
      <c r="G28" s="67" t="e">
        <f t="shared" si="12"/>
        <v>#VALUE!</v>
      </c>
      <c r="H28" s="67" t="e">
        <f t="shared" si="12"/>
        <v>#VALUE!</v>
      </c>
      <c r="I28" s="134" t="e">
        <f t="shared" si="12"/>
        <v>#VALUE!</v>
      </c>
      <c r="J28" s="148"/>
    </row>
    <row r="29" spans="1:10" x14ac:dyDescent="0.4">
      <c r="A29" s="107" t="s">
        <v>74</v>
      </c>
      <c r="B29" s="67">
        <f>-0.0267*B16^4 + 0.1441*B16^3 - 0.1934*B16^2 - 0.0823*B16 - 0.0545</f>
        <v>-5.6669899223492096E-2</v>
      </c>
      <c r="C29" s="67">
        <f>-0.0267*C16^4 + 0.1441*C16^3 - 0.1934*C16^2 - 0.0823*C16 - 0.0545</f>
        <v>-9.5035561236327337E-2</v>
      </c>
      <c r="D29" s="67">
        <f t="shared" ref="D29:I29" si="13">-0.0267*D16^4 + 0.1441*D16^3 - 0.1934*D16^2 - 0.0823*D16 - 0.0545</f>
        <v>-0.22123657141969413</v>
      </c>
      <c r="E29" s="67" t="e">
        <f t="shared" si="13"/>
        <v>#VALUE!</v>
      </c>
      <c r="F29" s="67" t="e">
        <f t="shared" si="13"/>
        <v>#VALUE!</v>
      </c>
      <c r="G29" s="67" t="e">
        <f t="shared" si="13"/>
        <v>#VALUE!</v>
      </c>
      <c r="H29" s="67" t="e">
        <f t="shared" si="13"/>
        <v>#VALUE!</v>
      </c>
      <c r="I29" s="134" t="e">
        <f t="shared" si="13"/>
        <v>#VALUE!</v>
      </c>
      <c r="J29" s="148"/>
    </row>
    <row r="30" spans="1:10" x14ac:dyDescent="0.4">
      <c r="A30" s="107" t="s">
        <v>75</v>
      </c>
      <c r="B30" s="67">
        <f xml:space="preserve"> 0.0386*B16^6 - 0.3474*B16^5 + 1.2173*B16^4 - 2.093*B16^3 + 1.8176*B16^2 - 0.7291*B16 - 0.0977</f>
        <v>-0.11478006409696799</v>
      </c>
      <c r="C30" s="67">
        <f xml:space="preserve"> 0.0386*C16^6 - 0.3474*C16^5 + 1.2173*C16^4 - 2.093*C16^3 + 1.8176*C16^2 - 0.7291*C16 - 0.0977</f>
        <v>-0.20133996896218431</v>
      </c>
      <c r="D30" s="67">
        <f t="shared" ref="D30:I30" si="14" xml:space="preserve"> 0.0386*D16^6 - 0.3474*D16^5 + 1.2173*D16^4 - 2.093*D16^3 + 1.8176*D16^2 - 0.7291*D16 - 0.0977</f>
        <v>-0.19443083774863279</v>
      </c>
      <c r="E30" s="67" t="e">
        <f t="shared" si="14"/>
        <v>#VALUE!</v>
      </c>
      <c r="F30" s="67" t="e">
        <f t="shared" si="14"/>
        <v>#VALUE!</v>
      </c>
      <c r="G30" s="67" t="e">
        <f t="shared" si="14"/>
        <v>#VALUE!</v>
      </c>
      <c r="H30" s="67" t="e">
        <f t="shared" si="14"/>
        <v>#VALUE!</v>
      </c>
      <c r="I30" s="134" t="e">
        <f t="shared" si="14"/>
        <v>#VALUE!</v>
      </c>
      <c r="J30" s="148"/>
    </row>
    <row r="31" spans="1:10" x14ac:dyDescent="0.4">
      <c r="A31" s="107" t="s">
        <v>76</v>
      </c>
      <c r="B31" s="67">
        <f xml:space="preserve"> -0.0272*B16^5 + 0.2255*B16^4 - 0.7129*B16^3 + 1.0621*B16^2 - 0.737*B16 - 0.06</f>
        <v>-7.7725640860645456E-2</v>
      </c>
      <c r="C31" s="67">
        <f xml:space="preserve"> -0.0272*C16^5 + 0.2255*C16^4 - 0.7129*C16^3 + 1.0621*C16^2 - 0.737*C16 - 0.06</f>
        <v>-0.20639196730767556</v>
      </c>
      <c r="D31" s="67">
        <f t="shared" ref="D31:I31" si="15" xml:space="preserve"> -0.0272*D16^5 + 0.2255*D16^4 - 0.7129*D16^3 + 1.0621*D16^2 - 0.737*D16 - 0.06</f>
        <v>-0.24861907425048219</v>
      </c>
      <c r="E31" s="67" t="e">
        <f t="shared" si="15"/>
        <v>#VALUE!</v>
      </c>
      <c r="F31" s="67" t="e">
        <f t="shared" si="15"/>
        <v>#VALUE!</v>
      </c>
      <c r="G31" s="67" t="e">
        <f t="shared" si="15"/>
        <v>#VALUE!</v>
      </c>
      <c r="H31" s="67" t="e">
        <f t="shared" si="15"/>
        <v>#VALUE!</v>
      </c>
      <c r="I31" s="134" t="e">
        <f t="shared" si="15"/>
        <v>#VALUE!</v>
      </c>
      <c r="J31" s="148"/>
    </row>
    <row r="32" spans="1:10" x14ac:dyDescent="0.4">
      <c r="A32" s="107" t="s">
        <v>77</v>
      </c>
      <c r="B32" s="67">
        <f>0.0245*B16^4 - 0.1573*B16^3 + 0.35*B16^2 - 0.3565*B16 - 0.0417</f>
        <v>-5.0373125511748523E-2</v>
      </c>
      <c r="C32" s="67">
        <f>0.0245*C16^4 - 0.1573*C16^3 + 0.35*C16^2 - 0.3565*C16 - 0.0417</f>
        <v>-0.12357370800501424</v>
      </c>
      <c r="D32" s="67">
        <f t="shared" ref="D32:I32" si="16">0.0245*D16^4 - 0.1573*D16^3 + 0.35*D16^2 - 0.3565*D16 - 0.0417</f>
        <v>-0.18276949820446131</v>
      </c>
      <c r="E32" s="67" t="e">
        <f t="shared" si="16"/>
        <v>#VALUE!</v>
      </c>
      <c r="F32" s="67" t="e">
        <f t="shared" si="16"/>
        <v>#VALUE!</v>
      </c>
      <c r="G32" s="67" t="e">
        <f t="shared" si="16"/>
        <v>#VALUE!</v>
      </c>
      <c r="H32" s="67" t="e">
        <f t="shared" si="16"/>
        <v>#VALUE!</v>
      </c>
      <c r="I32" s="134" t="e">
        <f t="shared" si="16"/>
        <v>#VALUE!</v>
      </c>
      <c r="J32" s="148"/>
    </row>
    <row r="33" spans="1:10" x14ac:dyDescent="0.4">
      <c r="A33" s="107" t="s">
        <v>78</v>
      </c>
      <c r="B33" s="67">
        <f>-0.0236*B16^5 + 0.1825*B16^4 - 0.5265*B16^3 + 0.6939*B16^2 - 0.4061*B16 - 0.0359</f>
        <v>-4.5601643940535022E-2</v>
      </c>
      <c r="C33" s="67">
        <f>-0.0236*C16^5 + 0.1825*C16^4 - 0.5265*C16^3 + 0.6939*C16^2 - 0.4061*C16 - 0.0359</f>
        <v>-0.10948682247309413</v>
      </c>
      <c r="D33" s="67">
        <f t="shared" ref="D33:I33" si="17">-0.0236*D16^5 + 0.1825*D16^4 - 0.5265*D16^3 + 0.6939*D16^2 - 0.4061*D16 - 0.0359</f>
        <v>-0.11494104361363601</v>
      </c>
      <c r="E33" s="67" t="e">
        <f t="shared" si="17"/>
        <v>#VALUE!</v>
      </c>
      <c r="F33" s="67" t="e">
        <f t="shared" si="17"/>
        <v>#VALUE!</v>
      </c>
      <c r="G33" s="67" t="e">
        <f t="shared" si="17"/>
        <v>#VALUE!</v>
      </c>
      <c r="H33" s="67" t="e">
        <f t="shared" si="17"/>
        <v>#VALUE!</v>
      </c>
      <c r="I33" s="134" t="e">
        <f t="shared" si="17"/>
        <v>#VALUE!</v>
      </c>
      <c r="J33" s="148"/>
    </row>
    <row r="34" spans="1:10" x14ac:dyDescent="0.4">
      <c r="A34" s="107" t="s">
        <v>79</v>
      </c>
      <c r="B34" s="67">
        <f>-0.0125*B16^5 + 0.1012*B16^4 - 0.3098*B16^3 + 0.4425*B16^2 - 0.29*B16 - 0.0174</f>
        <v>-2.4359982825781931E-2</v>
      </c>
      <c r="C34" s="67">
        <f>-0.0125*C16^5 + 0.1012*C16^4 - 0.3098*C16^3 + 0.4425*C16^2 - 0.29*C16 - 0.0174</f>
        <v>-7.3379658697292363E-2</v>
      </c>
      <c r="D34" s="67">
        <f t="shared" ref="D34:I34" si="18">-0.0125*D16^5 + 0.1012*D16^4 - 0.3098*D16^3 + 0.4425*D16^2 - 0.29*D16 - 0.0174</f>
        <v>-8.5543034593267037E-2</v>
      </c>
      <c r="E34" s="67" t="e">
        <f t="shared" si="18"/>
        <v>#VALUE!</v>
      </c>
      <c r="F34" s="67" t="e">
        <f t="shared" si="18"/>
        <v>#VALUE!</v>
      </c>
      <c r="G34" s="67" t="e">
        <f t="shared" si="18"/>
        <v>#VALUE!</v>
      </c>
      <c r="H34" s="67" t="e">
        <f t="shared" si="18"/>
        <v>#VALUE!</v>
      </c>
      <c r="I34" s="134" t="e">
        <f t="shared" si="18"/>
        <v>#VALUE!</v>
      </c>
      <c r="J34" s="148"/>
    </row>
    <row r="35" spans="1:10" x14ac:dyDescent="0.4">
      <c r="A35" s="107" t="s">
        <v>80</v>
      </c>
      <c r="B35" s="67">
        <f xml:space="preserve"> 0.0083*B16^4 - 0.0557*B16^3 + 0.1356*B16^2 - 0.1449*B16 - 0.0296</f>
        <v>-3.3129217555982846E-2</v>
      </c>
      <c r="C35" s="67">
        <f xml:space="preserve"> 0.0083*C16^4 - 0.0557*C16^3 + 0.1356*C16^2 - 0.1449*C16 - 0.0296</f>
        <v>-6.329327516894348E-2</v>
      </c>
      <c r="D35" s="67">
        <f t="shared" ref="D35:I35" si="19" xml:space="preserve"> 0.0083*D16^4 - 0.0557*D16^3 + 0.1356*D16^2 - 0.1449*D16 - 0.0296</f>
        <v>-8.6699569884171976E-2</v>
      </c>
      <c r="E35" s="67" t="e">
        <f t="shared" si="19"/>
        <v>#VALUE!</v>
      </c>
      <c r="F35" s="67" t="e">
        <f t="shared" si="19"/>
        <v>#VALUE!</v>
      </c>
      <c r="G35" s="67" t="e">
        <f t="shared" si="19"/>
        <v>#VALUE!</v>
      </c>
      <c r="H35" s="67" t="e">
        <f t="shared" si="19"/>
        <v>#VALUE!</v>
      </c>
      <c r="I35" s="134" t="e">
        <f t="shared" si="19"/>
        <v>#VALUE!</v>
      </c>
      <c r="J35" s="148"/>
    </row>
    <row r="36" spans="1:10" x14ac:dyDescent="0.4">
      <c r="A36" s="107" t="s">
        <v>81</v>
      </c>
      <c r="B36" s="67">
        <f xml:space="preserve"> -0.0107*B16^5 + 0.0818*B16^4 - 0.2324*B16^3 + 0.2994*B16^2 - 0.1692*B16 - 0.0194</f>
        <v>-2.3435956529385262E-2</v>
      </c>
      <c r="C36" s="67">
        <f xml:space="preserve"> -0.0107*C16^5 + 0.0818*C16^4 - 0.2324*C16^3 + 0.2994*C16^2 - 0.1692*C16 - 0.0194</f>
        <v>-4.9398855407640344E-2</v>
      </c>
      <c r="D36" s="67">
        <f t="shared" ref="D36:I36" si="20" xml:space="preserve"> -0.0107*D16^5 + 0.0818*D16^4 - 0.2324*D16^3 + 0.2994*D16^2 - 0.1692*D16 - 0.0194</f>
        <v>-5.0183088460094533E-2</v>
      </c>
      <c r="E36" s="67" t="e">
        <f t="shared" si="20"/>
        <v>#VALUE!</v>
      </c>
      <c r="F36" s="67" t="e">
        <f t="shared" si="20"/>
        <v>#VALUE!</v>
      </c>
      <c r="G36" s="67" t="e">
        <f t="shared" si="20"/>
        <v>#VALUE!</v>
      </c>
      <c r="H36" s="67" t="e">
        <f t="shared" si="20"/>
        <v>#VALUE!</v>
      </c>
      <c r="I36" s="134" t="e">
        <f t="shared" si="20"/>
        <v>#VALUE!</v>
      </c>
      <c r="J36" s="148"/>
    </row>
    <row r="38" spans="1:10" x14ac:dyDescent="0.4">
      <c r="A38" s="207" t="s">
        <v>108</v>
      </c>
      <c r="B38" s="207"/>
      <c r="C38" s="207"/>
      <c r="D38" s="207"/>
      <c r="E38" s="207"/>
      <c r="F38" s="207"/>
      <c r="G38" s="207"/>
      <c r="H38" s="207"/>
      <c r="I38" s="207"/>
    </row>
    <row r="39" spans="1:10" x14ac:dyDescent="0.4">
      <c r="A39" s="107" t="s">
        <v>70</v>
      </c>
      <c r="B39" s="119">
        <f t="shared" ref="B39:I39" si="21">B25*M4*$B$20</f>
        <v>0.40062812977847184</v>
      </c>
      <c r="C39" s="119">
        <f t="shared" si="21"/>
        <v>-13.768424601061096</v>
      </c>
      <c r="D39" s="119">
        <f t="shared" si="21"/>
        <v>-27.325600221788871</v>
      </c>
      <c r="E39" s="119" t="e">
        <f t="shared" si="21"/>
        <v>#VALUE!</v>
      </c>
      <c r="F39" s="119" t="e">
        <f t="shared" si="21"/>
        <v>#VALUE!</v>
      </c>
      <c r="G39" s="119" t="e">
        <f t="shared" si="21"/>
        <v>#VALUE!</v>
      </c>
      <c r="H39" s="119" t="e">
        <f t="shared" si="21"/>
        <v>#VALUE!</v>
      </c>
      <c r="I39" s="135" t="e">
        <f t="shared" si="21"/>
        <v>#VALUE!</v>
      </c>
      <c r="J39" s="103"/>
    </row>
    <row r="40" spans="1:10" x14ac:dyDescent="0.4">
      <c r="A40" s="107" t="s">
        <v>71</v>
      </c>
      <c r="B40" s="119">
        <f t="shared" ref="B40:B43" si="22">B26*M5*$B$20</f>
        <v>-130.45203715719745</v>
      </c>
      <c r="C40" s="119">
        <f t="shared" ref="C40:I43" si="23">C26*N5*$B$20</f>
        <v>-76.253099394063995</v>
      </c>
      <c r="D40" s="119">
        <f t="shared" si="23"/>
        <v>-86.89552024859141</v>
      </c>
      <c r="E40" s="119" t="e">
        <f t="shared" si="23"/>
        <v>#VALUE!</v>
      </c>
      <c r="F40" s="119" t="e">
        <f t="shared" si="23"/>
        <v>#VALUE!</v>
      </c>
      <c r="G40" s="119" t="e">
        <f t="shared" si="23"/>
        <v>#VALUE!</v>
      </c>
      <c r="H40" s="119" t="e">
        <f t="shared" si="23"/>
        <v>#VALUE!</v>
      </c>
      <c r="I40" s="135" t="e">
        <f t="shared" si="23"/>
        <v>#VALUE!</v>
      </c>
      <c r="J40" s="103"/>
    </row>
    <row r="41" spans="1:10" x14ac:dyDescent="0.4">
      <c r="A41" s="107" t="s">
        <v>72</v>
      </c>
      <c r="B41" s="119">
        <f t="shared" si="22"/>
        <v>-103.26651000081584</v>
      </c>
      <c r="C41" s="119">
        <f t="shared" si="23"/>
        <v>-44.262630116682573</v>
      </c>
      <c r="D41" s="119">
        <f t="shared" si="23"/>
        <v>-53.253372276764217</v>
      </c>
      <c r="E41" s="119" t="e">
        <f t="shared" si="23"/>
        <v>#VALUE!</v>
      </c>
      <c r="F41" s="119" t="e">
        <f t="shared" si="23"/>
        <v>#VALUE!</v>
      </c>
      <c r="G41" s="119" t="e">
        <f t="shared" si="23"/>
        <v>#VALUE!</v>
      </c>
      <c r="H41" s="119" t="e">
        <f t="shared" si="23"/>
        <v>#VALUE!</v>
      </c>
      <c r="I41" s="135" t="e">
        <f t="shared" si="23"/>
        <v>#VALUE!</v>
      </c>
      <c r="J41" s="103"/>
    </row>
    <row r="42" spans="1:10" x14ac:dyDescent="0.4">
      <c r="A42" s="107" t="s">
        <v>73</v>
      </c>
      <c r="B42" s="119">
        <f t="shared" si="22"/>
        <v>-102.74317572336753</v>
      </c>
      <c r="C42" s="119">
        <f t="shared" si="23"/>
        <v>-99.605970579533562</v>
      </c>
      <c r="D42" s="119">
        <f t="shared" si="23"/>
        <v>-109.69433599471101</v>
      </c>
      <c r="E42" s="119" t="e">
        <f t="shared" si="23"/>
        <v>#VALUE!</v>
      </c>
      <c r="F42" s="119" t="e">
        <f t="shared" si="23"/>
        <v>#VALUE!</v>
      </c>
      <c r="G42" s="119" t="e">
        <f t="shared" si="23"/>
        <v>#VALUE!</v>
      </c>
      <c r="H42" s="119" t="e">
        <f t="shared" si="23"/>
        <v>#VALUE!</v>
      </c>
      <c r="I42" s="135" t="e">
        <f t="shared" si="23"/>
        <v>#VALUE!</v>
      </c>
      <c r="J42" s="103"/>
    </row>
    <row r="43" spans="1:10" x14ac:dyDescent="0.4">
      <c r="A43" s="107" t="s">
        <v>74</v>
      </c>
      <c r="B43" s="119">
        <f t="shared" si="22"/>
        <v>-140.855123329446</v>
      </c>
      <c r="C43" s="119">
        <f t="shared" si="23"/>
        <v>-77.461404439899169</v>
      </c>
      <c r="D43" s="119">
        <f t="shared" si="23"/>
        <v>-138.76208802319181</v>
      </c>
      <c r="E43" s="119" t="e">
        <f t="shared" si="23"/>
        <v>#VALUE!</v>
      </c>
      <c r="F43" s="119" t="e">
        <f t="shared" si="23"/>
        <v>#VALUE!</v>
      </c>
      <c r="G43" s="119" t="e">
        <f t="shared" si="23"/>
        <v>#VALUE!</v>
      </c>
      <c r="H43" s="119" t="e">
        <f t="shared" si="23"/>
        <v>#VALUE!</v>
      </c>
      <c r="I43" s="135" t="e">
        <f t="shared" si="23"/>
        <v>#VALUE!</v>
      </c>
      <c r="J43" s="103"/>
    </row>
    <row r="44" spans="1:10" x14ac:dyDescent="0.4">
      <c r="A44" s="107" t="s">
        <v>75</v>
      </c>
      <c r="B44" s="119">
        <f t="shared" ref="B44:I44" si="24">B30*M9*$B$21</f>
        <v>-474.56342309523779</v>
      </c>
      <c r="C44" s="119">
        <f t="shared" si="24"/>
        <v>-263.48652837092902</v>
      </c>
      <c r="D44" s="119">
        <f t="shared" si="24"/>
        <v>-191.25064095477853</v>
      </c>
      <c r="E44" s="119" t="e">
        <f t="shared" si="24"/>
        <v>#VALUE!</v>
      </c>
      <c r="F44" s="119" t="e">
        <f t="shared" si="24"/>
        <v>#VALUE!</v>
      </c>
      <c r="G44" s="119" t="e">
        <f t="shared" si="24"/>
        <v>#VALUE!</v>
      </c>
      <c r="H44" s="119" t="e">
        <f t="shared" si="24"/>
        <v>#VALUE!</v>
      </c>
      <c r="I44" s="135" t="e">
        <f t="shared" si="24"/>
        <v>#VALUE!</v>
      </c>
      <c r="J44" s="103"/>
    </row>
    <row r="45" spans="1:10" x14ac:dyDescent="0.4">
      <c r="A45" s="107" t="s">
        <v>76</v>
      </c>
      <c r="B45" s="119">
        <f t="shared" ref="B45:B46" si="25">B31*M10*$B$21</f>
        <v>-322.51408959096341</v>
      </c>
      <c r="C45" s="119">
        <f t="shared" ref="C45:I47" si="26">C31*N10*$B$21</f>
        <v>-251.57024672193384</v>
      </c>
      <c r="D45" s="119">
        <f t="shared" si="26"/>
        <v>-241.73378124017739</v>
      </c>
      <c r="E45" s="119" t="e">
        <f t="shared" si="26"/>
        <v>#VALUE!</v>
      </c>
      <c r="F45" s="119" t="e">
        <f t="shared" si="26"/>
        <v>#VALUE!</v>
      </c>
      <c r="G45" s="119" t="e">
        <f t="shared" si="26"/>
        <v>#VALUE!</v>
      </c>
      <c r="H45" s="119" t="e">
        <f t="shared" si="26"/>
        <v>#VALUE!</v>
      </c>
      <c r="I45" s="135" t="e">
        <f t="shared" si="26"/>
        <v>#VALUE!</v>
      </c>
      <c r="J45" s="103"/>
    </row>
    <row r="46" spans="1:10" x14ac:dyDescent="0.4">
      <c r="A46" s="107" t="s">
        <v>77</v>
      </c>
      <c r="B46" s="119">
        <f t="shared" si="25"/>
        <v>-197.87790164341905</v>
      </c>
      <c r="C46" s="119">
        <f t="shared" si="26"/>
        <v>-136.25174559647772</v>
      </c>
      <c r="D46" s="119">
        <f t="shared" si="26"/>
        <v>-179.71654677706925</v>
      </c>
      <c r="E46" s="119" t="e">
        <f t="shared" si="26"/>
        <v>#VALUE!</v>
      </c>
      <c r="F46" s="119" t="e">
        <f t="shared" si="26"/>
        <v>#VALUE!</v>
      </c>
      <c r="G46" s="119" t="e">
        <f t="shared" si="26"/>
        <v>#VALUE!</v>
      </c>
      <c r="H46" s="119" t="e">
        <f t="shared" si="26"/>
        <v>#VALUE!</v>
      </c>
      <c r="I46" s="135" t="e">
        <f t="shared" si="26"/>
        <v>#VALUE!</v>
      </c>
      <c r="J46" s="103"/>
    </row>
    <row r="47" spans="1:10" x14ac:dyDescent="0.4">
      <c r="A47" s="107" t="s">
        <v>78</v>
      </c>
      <c r="B47" s="119">
        <f>B33*M12*$B$21</f>
        <v>-196.50561899009045</v>
      </c>
      <c r="C47" s="119">
        <f t="shared" si="26"/>
        <v>-153.08242665521635</v>
      </c>
      <c r="D47" s="119">
        <f t="shared" si="26"/>
        <v>-118.39495192930481</v>
      </c>
      <c r="E47" s="119" t="e">
        <f t="shared" si="26"/>
        <v>#VALUE!</v>
      </c>
      <c r="F47" s="119" t="e">
        <f t="shared" si="26"/>
        <v>#VALUE!</v>
      </c>
      <c r="G47" s="119" t="e">
        <f t="shared" si="26"/>
        <v>#VALUE!</v>
      </c>
      <c r="H47" s="119" t="e">
        <f t="shared" si="26"/>
        <v>#VALUE!</v>
      </c>
      <c r="I47" s="135" t="e">
        <f t="shared" si="26"/>
        <v>#VALUE!</v>
      </c>
      <c r="J47" s="103"/>
    </row>
    <row r="48" spans="1:10" x14ac:dyDescent="0.4">
      <c r="A48" s="107" t="s">
        <v>79</v>
      </c>
      <c r="B48" s="119">
        <f t="shared" ref="B48:I48" si="27">B34*M13*$B$20</f>
        <v>-52.683406499124146</v>
      </c>
      <c r="C48" s="119">
        <f t="shared" si="27"/>
        <v>-53.044311671624577</v>
      </c>
      <c r="D48" s="119">
        <f t="shared" si="27"/>
        <v>-57.263196248065199</v>
      </c>
      <c r="E48" s="119" t="e">
        <f t="shared" si="27"/>
        <v>#VALUE!</v>
      </c>
      <c r="F48" s="119" t="e">
        <f t="shared" si="27"/>
        <v>#VALUE!</v>
      </c>
      <c r="G48" s="119" t="e">
        <f t="shared" si="27"/>
        <v>#VALUE!</v>
      </c>
      <c r="H48" s="119" t="e">
        <f t="shared" si="27"/>
        <v>#VALUE!</v>
      </c>
      <c r="I48" s="135" t="e">
        <f t="shared" si="27"/>
        <v>#VALUE!</v>
      </c>
      <c r="J48" s="103"/>
    </row>
    <row r="49" spans="1:10" x14ac:dyDescent="0.4">
      <c r="A49" s="107" t="s">
        <v>80</v>
      </c>
      <c r="B49" s="119">
        <f t="shared" ref="B49:B50" si="28">B35*M14*$B$20</f>
        <v>-85.997566631523654</v>
      </c>
      <c r="C49" s="119">
        <f t="shared" ref="C49:I50" si="29">C35*N14*$B$20</f>
        <v>-53.605516482576633</v>
      </c>
      <c r="D49" s="119">
        <f t="shared" si="29"/>
        <v>-70.493947273942197</v>
      </c>
      <c r="E49" s="119" t="e">
        <f t="shared" si="29"/>
        <v>#VALUE!</v>
      </c>
      <c r="F49" s="119" t="e">
        <f t="shared" si="29"/>
        <v>#VALUE!</v>
      </c>
      <c r="G49" s="119" t="e">
        <f t="shared" si="29"/>
        <v>#VALUE!</v>
      </c>
      <c r="H49" s="119" t="e">
        <f t="shared" si="29"/>
        <v>#VALUE!</v>
      </c>
      <c r="I49" s="135" t="e">
        <f t="shared" si="29"/>
        <v>#VALUE!</v>
      </c>
      <c r="J49" s="103"/>
    </row>
    <row r="50" spans="1:10" x14ac:dyDescent="0.4">
      <c r="A50" s="120" t="s">
        <v>81</v>
      </c>
      <c r="B50" s="121">
        <f t="shared" si="28"/>
        <v>-59.199187940849818</v>
      </c>
      <c r="C50" s="121">
        <f t="shared" si="29"/>
        <v>-34.535339925570035</v>
      </c>
      <c r="D50" s="121">
        <f t="shared" si="29"/>
        <v>-43.606265442074431</v>
      </c>
      <c r="E50" s="121" t="e">
        <f t="shared" si="29"/>
        <v>#VALUE!</v>
      </c>
      <c r="F50" s="121" t="e">
        <f t="shared" si="29"/>
        <v>#VALUE!</v>
      </c>
      <c r="G50" s="121" t="e">
        <f t="shared" si="29"/>
        <v>#VALUE!</v>
      </c>
      <c r="H50" s="121" t="e">
        <f t="shared" si="29"/>
        <v>#VALUE!</v>
      </c>
      <c r="I50" s="136" t="e">
        <f t="shared" si="29"/>
        <v>#VALUE!</v>
      </c>
      <c r="J50" s="103"/>
    </row>
    <row r="51" spans="1:10" x14ac:dyDescent="0.4">
      <c r="A51" s="122" t="s">
        <v>113</v>
      </c>
      <c r="B51" s="123">
        <f>IF(Summary!$G$20="Yes",1,0)</f>
        <v>0</v>
      </c>
      <c r="C51" s="123">
        <f>IF(Summary!$G$20="Yes",1,0)</f>
        <v>0</v>
      </c>
      <c r="D51" s="123">
        <f>IF(Summary!$G$20="Yes",1,0)</f>
        <v>0</v>
      </c>
      <c r="E51" s="123">
        <f>IF(Summary!$G$20="Yes",1,0)</f>
        <v>0</v>
      </c>
      <c r="F51" s="123">
        <f>IF(Summary!$G$20="Yes",1,0)</f>
        <v>0</v>
      </c>
      <c r="G51" s="123">
        <f>IF(Summary!$G$20="Yes",1,0)</f>
        <v>0</v>
      </c>
      <c r="H51" s="123">
        <f>IF(Summary!$G$20="Yes",1,0)</f>
        <v>0</v>
      </c>
      <c r="I51" s="137">
        <f>IF(Summary!$G$20="Yes",1,0)</f>
        <v>0</v>
      </c>
    </row>
    <row r="52" spans="1:10" x14ac:dyDescent="0.4">
      <c r="A52" s="122" t="s">
        <v>109</v>
      </c>
      <c r="B52" s="124">
        <f>SUM(B39:B50)*-1*B51</f>
        <v>0</v>
      </c>
      <c r="C52" s="124">
        <f t="shared" ref="C52:I52" si="30">SUM(C39:C50)*-1*C51</f>
        <v>0</v>
      </c>
      <c r="D52" s="124">
        <f t="shared" si="30"/>
        <v>0</v>
      </c>
      <c r="E52" s="124" t="e">
        <f t="shared" si="30"/>
        <v>#VALUE!</v>
      </c>
      <c r="F52" s="124" t="e">
        <f t="shared" si="30"/>
        <v>#VALUE!</v>
      </c>
      <c r="G52" s="124" t="e">
        <f t="shared" si="30"/>
        <v>#VALUE!</v>
      </c>
      <c r="H52" s="125" t="e">
        <f>SUM(H39:H50)*-1*H51</f>
        <v>#VALUE!</v>
      </c>
      <c r="I52" s="138" t="e">
        <f t="shared" si="30"/>
        <v>#VALUE!</v>
      </c>
      <c r="J52" s="149"/>
    </row>
    <row r="53" spans="1:10" x14ac:dyDescent="0.4">
      <c r="A53" s="122" t="s">
        <v>133</v>
      </c>
      <c r="B53" s="123">
        <f>(M4+M5+M6+M7+M8+M13+M14+M15)*Summary!$Z$4+(M9+M10+M11+M12)*Summary!$AA$4</f>
        <v>35890.400279920039</v>
      </c>
      <c r="C53" s="123">
        <f>(N4+N5+N6+N7+N8+N13+N14+N15)*Summary!$Z$4+(N9+N10+N11+N12)*Summary!$AA$4</f>
        <v>11533.713590222729</v>
      </c>
      <c r="D53" s="123">
        <f>(O4+O5+O6+O7+O8+O13+O14+O15)*Summary!$Z$4+(O9+O10+O11+O12)*Summary!$AA$4</f>
        <v>9984.8576655304023</v>
      </c>
      <c r="E53" s="123">
        <f>(P4+P5+P6+P7+P8+P13+P14+P15)*Summary!$Z$4+(P9+P10+P11+P12)*Summary!$AA$4</f>
        <v>0</v>
      </c>
      <c r="F53" s="123">
        <f>(Q4+Q5+Q6+Q7+Q8+Q13+Q14+Q15)*Summary!$Z$4+(Q9+Q10+Q11+Q12)*Summary!$AA$4</f>
        <v>0</v>
      </c>
      <c r="G53" s="123">
        <f>(R4+R5+R6+R7+R8+R13+R14+R15)*Summary!$Z$4+(R9+R10+R11+R12)*Summary!$AA$4</f>
        <v>0</v>
      </c>
      <c r="H53" s="123"/>
      <c r="I53" s="137">
        <f>(T4+T5+T6+T7+T8+T13+T14+T15)*Summary!$Z$4+(T9+T10+T11+T12)*Summary!$AA$4</f>
        <v>0</v>
      </c>
    </row>
    <row r="54" spans="1:10" x14ac:dyDescent="0.4">
      <c r="A54" s="122" t="s">
        <v>134</v>
      </c>
      <c r="B54" s="126">
        <f>B52/B53</f>
        <v>0</v>
      </c>
      <c r="C54" s="126">
        <f t="shared" ref="C54:I54" si="31">C52/C53</f>
        <v>0</v>
      </c>
      <c r="D54" s="126">
        <f t="shared" si="31"/>
        <v>0</v>
      </c>
      <c r="E54" s="126" t="e">
        <f t="shared" si="31"/>
        <v>#VALUE!</v>
      </c>
      <c r="F54" s="126" t="e">
        <f t="shared" si="31"/>
        <v>#VALUE!</v>
      </c>
      <c r="G54" s="126" t="e">
        <f t="shared" si="31"/>
        <v>#VALUE!</v>
      </c>
      <c r="H54" s="126" t="e">
        <f t="shared" si="31"/>
        <v>#VALUE!</v>
      </c>
      <c r="I54" s="139" t="e">
        <f t="shared" si="31"/>
        <v>#VALUE!</v>
      </c>
      <c r="J54" s="150"/>
    </row>
  </sheetData>
  <mergeCells count="3">
    <mergeCell ref="A1:I1"/>
    <mergeCell ref="A23:I23"/>
    <mergeCell ref="A38:I3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7C80"/>
  </sheetPr>
  <dimension ref="A1:BN101"/>
  <sheetViews>
    <sheetView topLeftCell="E1" workbookViewId="0">
      <selection activeCell="N43" sqref="N43"/>
    </sheetView>
  </sheetViews>
  <sheetFormatPr defaultRowHeight="14.6" x14ac:dyDescent="0.4"/>
  <cols>
    <col min="6" max="6" width="28.3828125" customWidth="1"/>
    <col min="13" max="13" width="14.15234375" customWidth="1"/>
    <col min="14" max="14" width="20" customWidth="1"/>
    <col min="16" max="16" width="27.53515625" customWidth="1"/>
    <col min="17" max="17" width="25" customWidth="1"/>
    <col min="18" max="27" width="21.15234375" customWidth="1"/>
  </cols>
  <sheetData>
    <row r="1" spans="1:66" ht="29.15" x14ac:dyDescent="0.4">
      <c r="A1" s="151" t="s">
        <v>83</v>
      </c>
      <c r="B1" s="152"/>
      <c r="C1" s="152"/>
      <c r="D1" s="152"/>
      <c r="E1" s="152"/>
      <c r="F1" s="153"/>
      <c r="K1" s="21" t="s">
        <v>82</v>
      </c>
      <c r="L1" s="21" t="s">
        <v>12</v>
      </c>
      <c r="M1" s="21" t="s">
        <v>115</v>
      </c>
      <c r="N1" s="62" t="s">
        <v>116</v>
      </c>
      <c r="O1" s="21"/>
      <c r="P1" s="21" t="s">
        <v>70</v>
      </c>
      <c r="Q1" s="21" t="s">
        <v>71</v>
      </c>
      <c r="R1" s="21" t="s">
        <v>72</v>
      </c>
      <c r="S1" s="21" t="s">
        <v>73</v>
      </c>
      <c r="T1" s="21" t="s">
        <v>74</v>
      </c>
      <c r="U1" s="21" t="s">
        <v>75</v>
      </c>
      <c r="V1" s="21" t="s">
        <v>76</v>
      </c>
      <c r="W1" s="21" t="s">
        <v>77</v>
      </c>
      <c r="X1" s="21" t="s">
        <v>78</v>
      </c>
      <c r="Y1" s="21" t="s">
        <v>79</v>
      </c>
      <c r="Z1" s="21" t="s">
        <v>80</v>
      </c>
      <c r="AA1" s="21" t="s">
        <v>81</v>
      </c>
      <c r="AB1" s="21"/>
      <c r="AC1" s="21" t="s">
        <v>70</v>
      </c>
      <c r="AD1" s="21" t="s">
        <v>71</v>
      </c>
      <c r="AE1" s="21" t="s">
        <v>72</v>
      </c>
      <c r="AF1" s="21" t="s">
        <v>73</v>
      </c>
      <c r="AG1" s="21" t="s">
        <v>74</v>
      </c>
      <c r="AH1" s="21" t="s">
        <v>75</v>
      </c>
      <c r="AI1" s="21" t="s">
        <v>76</v>
      </c>
      <c r="AJ1" s="21" t="s">
        <v>77</v>
      </c>
      <c r="AK1" s="21" t="s">
        <v>78</v>
      </c>
      <c r="AL1" s="21" t="s">
        <v>79</v>
      </c>
      <c r="AM1" s="21" t="s">
        <v>80</v>
      </c>
      <c r="AN1" s="21" t="s">
        <v>81</v>
      </c>
      <c r="AO1" s="21"/>
      <c r="AP1" s="21" t="s">
        <v>70</v>
      </c>
      <c r="AQ1" s="21" t="s">
        <v>71</v>
      </c>
      <c r="AR1" s="21" t="s">
        <v>72</v>
      </c>
      <c r="AS1" s="21" t="s">
        <v>73</v>
      </c>
      <c r="AT1" s="21" t="s">
        <v>74</v>
      </c>
      <c r="AU1" s="21" t="s">
        <v>75</v>
      </c>
      <c r="AV1" s="21" t="s">
        <v>76</v>
      </c>
      <c r="AW1" s="21" t="s">
        <v>77</v>
      </c>
      <c r="AX1" s="21" t="s">
        <v>78</v>
      </c>
      <c r="AY1" s="21" t="s">
        <v>79</v>
      </c>
      <c r="AZ1" s="21" t="s">
        <v>80</v>
      </c>
      <c r="BA1" s="21" t="s">
        <v>81</v>
      </c>
      <c r="BB1" s="21"/>
      <c r="BC1" s="21" t="s">
        <v>70</v>
      </c>
      <c r="BD1" s="21" t="s">
        <v>71</v>
      </c>
      <c r="BE1" s="21" t="s">
        <v>72</v>
      </c>
      <c r="BF1" s="21" t="s">
        <v>73</v>
      </c>
      <c r="BG1" s="21" t="s">
        <v>74</v>
      </c>
      <c r="BH1" s="21" t="s">
        <v>75</v>
      </c>
      <c r="BI1" s="21" t="s">
        <v>76</v>
      </c>
      <c r="BJ1" s="21" t="s">
        <v>77</v>
      </c>
      <c r="BK1" s="21" t="s">
        <v>78</v>
      </c>
      <c r="BL1" s="21" t="s">
        <v>79</v>
      </c>
      <c r="BM1" s="21" t="s">
        <v>80</v>
      </c>
      <c r="BN1" s="21" t="s">
        <v>81</v>
      </c>
    </row>
    <row r="2" spans="1:66" ht="32.25" customHeight="1" x14ac:dyDescent="0.4">
      <c r="A2" s="78" t="s">
        <v>70</v>
      </c>
      <c r="B2" s="208" t="s">
        <v>102</v>
      </c>
      <c r="C2" s="209"/>
      <c r="D2" s="209"/>
      <c r="E2" s="209"/>
      <c r="F2" s="210"/>
      <c r="K2" s="21">
        <v>10</v>
      </c>
      <c r="L2" s="21">
        <f>1220*K2</f>
        <v>12200</v>
      </c>
      <c r="M2" s="66">
        <f>L2/450715</f>
        <v>2.706810290316497E-2</v>
      </c>
      <c r="N2" s="21"/>
      <c r="O2" s="21" t="s">
        <v>83</v>
      </c>
      <c r="P2" s="156" t="s">
        <v>149</v>
      </c>
      <c r="Q2" s="62" t="s">
        <v>146</v>
      </c>
      <c r="R2" s="62" t="s">
        <v>147</v>
      </c>
      <c r="S2" s="62" t="s">
        <v>148</v>
      </c>
      <c r="T2" s="64" t="s">
        <v>87</v>
      </c>
      <c r="U2" s="62" t="s">
        <v>88</v>
      </c>
      <c r="V2" s="62" t="s">
        <v>89</v>
      </c>
      <c r="W2" s="62" t="s">
        <v>90</v>
      </c>
      <c r="X2" s="21" t="s">
        <v>91</v>
      </c>
      <c r="Y2" s="62" t="s">
        <v>92</v>
      </c>
      <c r="Z2" s="62" t="s">
        <v>93</v>
      </c>
      <c r="AA2" s="62" t="s">
        <v>94</v>
      </c>
      <c r="AB2" s="21"/>
      <c r="AC2" s="66">
        <f>(BC2-AP2)/AP2</f>
        <v>-2.2093081573365675E-3</v>
      </c>
      <c r="AD2" s="66">
        <f t="shared" ref="AD2:AN17" si="0">(BD2-AQ2)/AQ2</f>
        <v>-3.9923371285937398E-2</v>
      </c>
      <c r="AE2" s="66">
        <f t="shared" si="0"/>
        <v>-2.8374684749335462E-2</v>
      </c>
      <c r="AF2" s="66">
        <f t="shared" si="0"/>
        <v>-5.4558409257341178E-2</v>
      </c>
      <c r="AG2" s="66">
        <f t="shared" si="0"/>
        <v>-5.1872245428706248E-2</v>
      </c>
      <c r="AH2" s="66">
        <f t="shared" si="0"/>
        <v>-8.3634461292348944E-2</v>
      </c>
      <c r="AI2" s="66">
        <f t="shared" si="0"/>
        <v>-6.2101466562614983E-2</v>
      </c>
      <c r="AJ2" s="66">
        <f t="shared" si="0"/>
        <v>-4.499300434138815E-2</v>
      </c>
      <c r="AK2" s="66">
        <f t="shared" si="0"/>
        <v>-3.0883217268954741E-2</v>
      </c>
      <c r="AL2" s="66">
        <f t="shared" si="0"/>
        <v>-2.245683991118759E-2</v>
      </c>
      <c r="AM2" s="66">
        <f t="shared" si="0"/>
        <v>-2.0223248122373035E-2</v>
      </c>
      <c r="AN2" s="66">
        <f t="shared" si="0"/>
        <v>-1.7324872499290548E-2</v>
      </c>
      <c r="AO2" s="21"/>
      <c r="AP2" s="21">
        <v>77.761899999999997</v>
      </c>
      <c r="AQ2" s="21">
        <v>84.772400000000005</v>
      </c>
      <c r="AR2" s="21">
        <v>82.355099999999993</v>
      </c>
      <c r="AS2" s="21">
        <v>75.788499999999999</v>
      </c>
      <c r="AT2" s="21">
        <v>69.520799999999994</v>
      </c>
      <c r="AU2" s="21">
        <v>49.508299999999998</v>
      </c>
      <c r="AV2" s="21">
        <v>49.462600000000002</v>
      </c>
      <c r="AW2" s="21">
        <v>41.668700000000001</v>
      </c>
      <c r="AX2" s="21">
        <v>112.294</v>
      </c>
      <c r="AY2" s="21">
        <v>110.345</v>
      </c>
      <c r="AZ2" s="21">
        <v>116.104</v>
      </c>
      <c r="BA2" s="21">
        <v>72.254499999999993</v>
      </c>
      <c r="BB2" s="21"/>
      <c r="BC2" s="21">
        <v>77.590100000000007</v>
      </c>
      <c r="BD2" s="21">
        <v>81.388000000000005</v>
      </c>
      <c r="BE2" s="21">
        <v>80.018299999999996</v>
      </c>
      <c r="BF2" s="21">
        <v>71.653599999999997</v>
      </c>
      <c r="BG2" s="21">
        <v>65.914599999999993</v>
      </c>
      <c r="BH2" s="21">
        <v>45.367699999999999</v>
      </c>
      <c r="BI2" s="21">
        <v>46.390900000000002</v>
      </c>
      <c r="BJ2" s="21">
        <v>39.793900000000001</v>
      </c>
      <c r="BK2" s="21">
        <v>108.82599999999999</v>
      </c>
      <c r="BL2" s="21">
        <v>107.867</v>
      </c>
      <c r="BM2" s="21">
        <v>113.756</v>
      </c>
      <c r="BN2" s="21">
        <v>71.002700000000004</v>
      </c>
    </row>
    <row r="3" spans="1:66" x14ac:dyDescent="0.4">
      <c r="A3" s="78" t="s">
        <v>71</v>
      </c>
      <c r="B3" s="208" t="s">
        <v>84</v>
      </c>
      <c r="C3" s="209"/>
      <c r="D3" s="209"/>
      <c r="E3" s="209"/>
      <c r="F3" s="210"/>
      <c r="K3" s="21">
        <v>20</v>
      </c>
      <c r="L3" s="21">
        <f t="shared" ref="L3:L66" si="1">1220*K3</f>
        <v>24400</v>
      </c>
      <c r="M3" s="66">
        <f t="shared" ref="M3:M66" si="2">L3/450715</f>
        <v>5.413620580632994E-2</v>
      </c>
      <c r="N3" s="21"/>
      <c r="O3" s="21"/>
      <c r="P3" s="21"/>
      <c r="Q3" s="21"/>
      <c r="R3" s="21"/>
      <c r="S3" s="21"/>
      <c r="T3" s="21"/>
      <c r="U3" s="21"/>
      <c r="V3" s="21"/>
      <c r="W3" s="21"/>
      <c r="X3" s="21"/>
      <c r="Y3" s="21"/>
      <c r="Z3" s="21"/>
      <c r="AA3" s="21"/>
      <c r="AB3" s="21"/>
      <c r="AC3" s="66">
        <f t="shared" ref="AC3:AN37" si="3">(BC3-AP3)/AP3</f>
        <v>-3.4734233602831122E-3</v>
      </c>
      <c r="AD3" s="66">
        <f t="shared" si="0"/>
        <v>-4.9615204948780529E-2</v>
      </c>
      <c r="AE3" s="66">
        <f t="shared" si="0"/>
        <v>-3.9764386176448077E-2</v>
      </c>
      <c r="AF3" s="66">
        <f t="shared" si="0"/>
        <v>-6.0269038178615515E-2</v>
      </c>
      <c r="AG3" s="66">
        <f t="shared" si="0"/>
        <v>-5.6256544803857084E-2</v>
      </c>
      <c r="AH3" s="66">
        <f t="shared" si="0"/>
        <v>-0.13537326064518479</v>
      </c>
      <c r="AI3" s="66">
        <f t="shared" si="0"/>
        <v>-9.843194656164464E-2</v>
      </c>
      <c r="AJ3" s="66">
        <f t="shared" si="0"/>
        <v>-5.3642182261505612E-2</v>
      </c>
      <c r="AK3" s="66">
        <f t="shared" si="0"/>
        <v>-5.5897910841184756E-2</v>
      </c>
      <c r="AL3" s="66">
        <f t="shared" si="0"/>
        <v>-3.5950881326747917E-2</v>
      </c>
      <c r="AM3" s="66">
        <f t="shared" si="0"/>
        <v>-3.1764624819127701E-2</v>
      </c>
      <c r="AN3" s="66">
        <f t="shared" si="0"/>
        <v>-2.4222712772214775E-2</v>
      </c>
      <c r="AO3" s="21"/>
      <c r="AP3" s="21">
        <v>77.761899999999997</v>
      </c>
      <c r="AQ3" s="21">
        <v>84.772400000000005</v>
      </c>
      <c r="AR3" s="21">
        <v>82.355099999999993</v>
      </c>
      <c r="AS3" s="21">
        <v>75.788499999999999</v>
      </c>
      <c r="AT3" s="21">
        <v>69.520799999999994</v>
      </c>
      <c r="AU3" s="21">
        <v>49.508299999999998</v>
      </c>
      <c r="AV3" s="21">
        <v>49.462600000000002</v>
      </c>
      <c r="AW3" s="21">
        <v>41.668700000000001</v>
      </c>
      <c r="AX3" s="21">
        <v>112.294</v>
      </c>
      <c r="AY3" s="21">
        <v>110.345</v>
      </c>
      <c r="AZ3" s="21">
        <v>116.104</v>
      </c>
      <c r="BA3" s="21">
        <v>72.254499999999993</v>
      </c>
      <c r="BB3" s="21"/>
      <c r="BC3" s="21">
        <v>77.491799999999998</v>
      </c>
      <c r="BD3" s="21">
        <v>80.566400000000002</v>
      </c>
      <c r="BE3" s="21">
        <v>79.080299999999994</v>
      </c>
      <c r="BF3" s="21">
        <v>71.220799999999997</v>
      </c>
      <c r="BG3" s="21">
        <v>65.609800000000007</v>
      </c>
      <c r="BH3" s="21">
        <v>42.806199999999997</v>
      </c>
      <c r="BI3" s="21">
        <v>44.593899999999998</v>
      </c>
      <c r="BJ3" s="21">
        <v>39.433500000000002</v>
      </c>
      <c r="BK3" s="21">
        <v>106.017</v>
      </c>
      <c r="BL3" s="21">
        <v>106.378</v>
      </c>
      <c r="BM3" s="21">
        <v>112.416</v>
      </c>
      <c r="BN3" s="21">
        <v>70.504300000000001</v>
      </c>
    </row>
    <row r="4" spans="1:66" x14ac:dyDescent="0.4">
      <c r="A4" s="78" t="s">
        <v>72</v>
      </c>
      <c r="B4" s="208" t="s">
        <v>85</v>
      </c>
      <c r="C4" s="209"/>
      <c r="D4" s="209"/>
      <c r="E4" s="209"/>
      <c r="F4" s="210"/>
      <c r="K4" s="21">
        <v>30</v>
      </c>
      <c r="L4" s="21">
        <f t="shared" si="1"/>
        <v>36600</v>
      </c>
      <c r="M4" s="66">
        <f t="shared" si="2"/>
        <v>8.120430870949491E-2</v>
      </c>
      <c r="N4" s="21"/>
      <c r="O4" s="21"/>
      <c r="P4" s="21"/>
      <c r="Q4" s="21"/>
      <c r="R4" s="21"/>
      <c r="S4" s="21"/>
      <c r="T4" s="21"/>
      <c r="U4" s="21"/>
      <c r="V4" s="21"/>
      <c r="W4" s="21"/>
      <c r="X4" s="21"/>
      <c r="Y4" s="21"/>
      <c r="Z4" s="21"/>
      <c r="AA4" s="21"/>
      <c r="AB4" s="21"/>
      <c r="AC4" s="66">
        <f t="shared" si="3"/>
        <v>-4.7375385632294747E-3</v>
      </c>
      <c r="AD4" s="66">
        <f t="shared" si="0"/>
        <v>-5.4109592272956801E-2</v>
      </c>
      <c r="AE4" s="66">
        <f t="shared" si="0"/>
        <v>-4.9416490296290062E-2</v>
      </c>
      <c r="AF4" s="66">
        <f t="shared" si="0"/>
        <v>-6.5979667099889852E-2</v>
      </c>
      <c r="AG4" s="66">
        <f t="shared" si="0"/>
        <v>-6.064084417900812E-2</v>
      </c>
      <c r="AH4" s="66">
        <f t="shared" si="0"/>
        <v>-0.15030813015191388</v>
      </c>
      <c r="AI4" s="66">
        <f t="shared" si="0"/>
        <v>-0.12794111106169104</v>
      </c>
      <c r="AJ4" s="66">
        <f t="shared" si="0"/>
        <v>-6.2291360181623248E-2</v>
      </c>
      <c r="AK4" s="66">
        <f t="shared" si="0"/>
        <v>-6.4954494452063305E-2</v>
      </c>
      <c r="AL4" s="66">
        <f t="shared" si="0"/>
        <v>-3.9902125152929499E-2</v>
      </c>
      <c r="AM4" s="66">
        <f t="shared" si="0"/>
        <v>-3.7991800454764704E-2</v>
      </c>
      <c r="AN4" s="66">
        <f t="shared" si="0"/>
        <v>-2.8951829989827562E-2</v>
      </c>
      <c r="AO4" s="21"/>
      <c r="AP4" s="21">
        <v>77.761899999999997</v>
      </c>
      <c r="AQ4" s="21">
        <v>84.772400000000005</v>
      </c>
      <c r="AR4" s="21">
        <v>82.355099999999993</v>
      </c>
      <c r="AS4" s="21">
        <v>75.788499999999999</v>
      </c>
      <c r="AT4" s="21">
        <v>69.520799999999994</v>
      </c>
      <c r="AU4" s="21">
        <v>49.508299999999998</v>
      </c>
      <c r="AV4" s="21">
        <v>49.462600000000002</v>
      </c>
      <c r="AW4" s="21">
        <v>41.668700000000001</v>
      </c>
      <c r="AX4" s="21">
        <v>112.294</v>
      </c>
      <c r="AY4" s="21">
        <v>110.345</v>
      </c>
      <c r="AZ4" s="21">
        <v>116.104</v>
      </c>
      <c r="BA4" s="21">
        <v>72.254499999999993</v>
      </c>
      <c r="BB4" s="21"/>
      <c r="BC4" s="21">
        <v>77.393500000000003</v>
      </c>
      <c r="BD4" s="21">
        <v>80.185400000000001</v>
      </c>
      <c r="BE4" s="21">
        <v>78.285399999999996</v>
      </c>
      <c r="BF4" s="21">
        <v>70.787999999999997</v>
      </c>
      <c r="BG4" s="21">
        <v>65.305000000000007</v>
      </c>
      <c r="BH4" s="21">
        <v>42.066800000000001</v>
      </c>
      <c r="BI4" s="21">
        <v>43.134300000000003</v>
      </c>
      <c r="BJ4" s="21">
        <v>39.073099999999997</v>
      </c>
      <c r="BK4" s="21">
        <v>105</v>
      </c>
      <c r="BL4" s="21">
        <v>105.94199999999999</v>
      </c>
      <c r="BM4" s="21">
        <v>111.693</v>
      </c>
      <c r="BN4" s="21">
        <v>70.162599999999998</v>
      </c>
    </row>
    <row r="5" spans="1:66" x14ac:dyDescent="0.4">
      <c r="A5" s="78" t="s">
        <v>73</v>
      </c>
      <c r="B5" s="155" t="s">
        <v>86</v>
      </c>
      <c r="C5" s="154"/>
      <c r="D5" s="154"/>
      <c r="E5" s="154"/>
      <c r="F5" s="154"/>
      <c r="K5" s="21">
        <v>40</v>
      </c>
      <c r="L5" s="21">
        <f t="shared" si="1"/>
        <v>48800</v>
      </c>
      <c r="M5" s="66">
        <f t="shared" si="2"/>
        <v>0.10827241161265988</v>
      </c>
      <c r="N5" s="21"/>
      <c r="O5" s="21"/>
      <c r="P5" s="21"/>
      <c r="Q5" s="21"/>
      <c r="R5" s="21"/>
      <c r="S5" s="21"/>
      <c r="T5" s="21"/>
      <c r="U5" s="21"/>
      <c r="V5" s="21"/>
      <c r="W5" s="21"/>
      <c r="X5" s="21"/>
      <c r="Y5" s="21"/>
      <c r="Z5" s="21"/>
      <c r="AA5" s="21"/>
      <c r="AB5" s="21"/>
      <c r="AC5" s="66">
        <f t="shared" si="3"/>
        <v>-6.0016537661760194E-3</v>
      </c>
      <c r="AD5" s="66">
        <f t="shared" si="0"/>
        <v>-5.6696519150100821E-2</v>
      </c>
      <c r="AE5" s="66">
        <f t="shared" si="0"/>
        <v>-5.4634139233635741E-2</v>
      </c>
      <c r="AF5" s="66">
        <f t="shared" si="0"/>
        <v>-7.1690296021164196E-2</v>
      </c>
      <c r="AG5" s="66">
        <f t="shared" si="0"/>
        <v>-6.5025143554159157E-2</v>
      </c>
      <c r="AH5" s="66">
        <f t="shared" si="0"/>
        <v>-0.16524501952197909</v>
      </c>
      <c r="AI5" s="66">
        <f t="shared" si="0"/>
        <v>-0.13966512071747139</v>
      </c>
      <c r="AJ5" s="66">
        <f t="shared" si="0"/>
        <v>-7.0942937984626336E-2</v>
      </c>
      <c r="AK5" s="66">
        <f t="shared" si="0"/>
        <v>-7.2301280567082835E-2</v>
      </c>
      <c r="AL5" s="66">
        <f t="shared" si="0"/>
        <v>-4.386243146495087E-2</v>
      </c>
      <c r="AM5" s="66">
        <f t="shared" si="0"/>
        <v>-4.2556673327361697E-2</v>
      </c>
      <c r="AN5" s="66">
        <f t="shared" si="0"/>
        <v>-3.3680947207440345E-2</v>
      </c>
      <c r="AO5" s="21"/>
      <c r="AP5" s="21">
        <v>77.761899999999997</v>
      </c>
      <c r="AQ5" s="21">
        <v>84.772400000000005</v>
      </c>
      <c r="AR5" s="21">
        <v>82.355099999999993</v>
      </c>
      <c r="AS5" s="21">
        <v>75.788499999999999</v>
      </c>
      <c r="AT5" s="21">
        <v>69.520799999999994</v>
      </c>
      <c r="AU5" s="21">
        <v>49.508299999999998</v>
      </c>
      <c r="AV5" s="21">
        <v>49.462600000000002</v>
      </c>
      <c r="AW5" s="21">
        <v>41.668700000000001</v>
      </c>
      <c r="AX5" s="21">
        <v>112.294</v>
      </c>
      <c r="AY5" s="21">
        <v>110.345</v>
      </c>
      <c r="AZ5" s="21">
        <v>116.104</v>
      </c>
      <c r="BA5" s="21">
        <v>72.254499999999993</v>
      </c>
      <c r="BB5" s="21"/>
      <c r="BC5" s="21">
        <v>77.295199999999994</v>
      </c>
      <c r="BD5" s="21">
        <v>79.966099999999997</v>
      </c>
      <c r="BE5" s="21">
        <v>77.855699999999999</v>
      </c>
      <c r="BF5" s="21">
        <v>70.355199999999996</v>
      </c>
      <c r="BG5" s="21">
        <v>65.000200000000007</v>
      </c>
      <c r="BH5" s="21">
        <v>41.327300000000001</v>
      </c>
      <c r="BI5" s="21">
        <v>42.554400000000001</v>
      </c>
      <c r="BJ5" s="21">
        <v>38.712600000000002</v>
      </c>
      <c r="BK5" s="21">
        <v>104.175</v>
      </c>
      <c r="BL5" s="21">
        <v>105.505</v>
      </c>
      <c r="BM5" s="21">
        <v>111.163</v>
      </c>
      <c r="BN5" s="21">
        <v>69.820899999999995</v>
      </c>
    </row>
    <row r="6" spans="1:66" x14ac:dyDescent="0.4">
      <c r="A6" s="78" t="s">
        <v>74</v>
      </c>
      <c r="B6" s="154" t="s">
        <v>95</v>
      </c>
      <c r="C6" s="154"/>
      <c r="D6" s="154"/>
      <c r="E6" s="154"/>
      <c r="F6" s="154"/>
      <c r="K6" s="21">
        <v>50</v>
      </c>
      <c r="L6" s="21">
        <f t="shared" si="1"/>
        <v>61000</v>
      </c>
      <c r="M6" s="66">
        <f t="shared" si="2"/>
        <v>0.13534051451582485</v>
      </c>
      <c r="N6" s="21"/>
      <c r="O6" s="21"/>
      <c r="P6" s="21"/>
      <c r="Q6" s="21"/>
      <c r="R6" s="21"/>
      <c r="S6" s="21"/>
      <c r="T6" s="21"/>
      <c r="U6" s="21"/>
      <c r="V6" s="21"/>
      <c r="W6" s="21"/>
      <c r="X6" s="21"/>
      <c r="Y6" s="21"/>
      <c r="Z6" s="21"/>
      <c r="AA6" s="21"/>
      <c r="AB6" s="21"/>
      <c r="AC6" s="66">
        <f t="shared" si="3"/>
        <v>-7.2657689691223819E-3</v>
      </c>
      <c r="AD6" s="66">
        <f t="shared" si="0"/>
        <v>-5.9282266398025862E-2</v>
      </c>
      <c r="AE6" s="66">
        <f t="shared" si="0"/>
        <v>-5.5139268849166562E-2</v>
      </c>
      <c r="AF6" s="66">
        <f t="shared" si="0"/>
        <v>-7.740092494243854E-2</v>
      </c>
      <c r="AG6" s="66">
        <f t="shared" si="0"/>
        <v>-6.9408004510880181E-2</v>
      </c>
      <c r="AH6" s="66">
        <f t="shared" si="0"/>
        <v>-0.1801819088920443</v>
      </c>
      <c r="AI6" s="66">
        <f t="shared" si="0"/>
        <v>-0.1476368003299463</v>
      </c>
      <c r="AJ6" s="66">
        <f t="shared" si="0"/>
        <v>-7.9592115904743799E-2</v>
      </c>
      <c r="AK6" s="66">
        <f t="shared" si="0"/>
        <v>-7.9639161486811383E-2</v>
      </c>
      <c r="AL6" s="66">
        <f t="shared" si="0"/>
        <v>-4.7822737776972234E-2</v>
      </c>
      <c r="AM6" s="66">
        <f t="shared" si="0"/>
        <v>-4.7130159167642752E-2</v>
      </c>
      <c r="AN6" s="66">
        <f t="shared" si="0"/>
        <v>-3.8410064425052938E-2</v>
      </c>
      <c r="AO6" s="21"/>
      <c r="AP6" s="21">
        <v>77.761899999999997</v>
      </c>
      <c r="AQ6" s="21">
        <v>84.772400000000005</v>
      </c>
      <c r="AR6" s="21">
        <v>82.355099999999993</v>
      </c>
      <c r="AS6" s="21">
        <v>75.788499999999999</v>
      </c>
      <c r="AT6" s="21">
        <v>69.520799999999994</v>
      </c>
      <c r="AU6" s="21">
        <v>49.508299999999998</v>
      </c>
      <c r="AV6" s="21">
        <v>49.462600000000002</v>
      </c>
      <c r="AW6" s="21">
        <v>41.668700000000001</v>
      </c>
      <c r="AX6" s="21">
        <v>112.294</v>
      </c>
      <c r="AY6" s="21">
        <v>110.345</v>
      </c>
      <c r="AZ6" s="21">
        <v>116.104</v>
      </c>
      <c r="BA6" s="21">
        <v>72.254499999999993</v>
      </c>
      <c r="BB6" s="21"/>
      <c r="BC6" s="21">
        <v>77.196899999999999</v>
      </c>
      <c r="BD6" s="21">
        <v>79.746899999999997</v>
      </c>
      <c r="BE6" s="21">
        <v>77.814099999999996</v>
      </c>
      <c r="BF6" s="21">
        <v>69.922399999999996</v>
      </c>
      <c r="BG6" s="21">
        <v>64.695499999999996</v>
      </c>
      <c r="BH6" s="21">
        <v>40.587800000000001</v>
      </c>
      <c r="BI6" s="21">
        <v>42.1601</v>
      </c>
      <c r="BJ6" s="21">
        <v>38.352200000000003</v>
      </c>
      <c r="BK6" s="21">
        <v>103.351</v>
      </c>
      <c r="BL6" s="21">
        <v>105.068</v>
      </c>
      <c r="BM6" s="21">
        <v>110.63200000000001</v>
      </c>
      <c r="BN6" s="21">
        <v>69.479200000000006</v>
      </c>
    </row>
    <row r="7" spans="1:66" x14ac:dyDescent="0.4">
      <c r="A7" s="78" t="s">
        <v>75</v>
      </c>
      <c r="B7" s="154" t="s">
        <v>88</v>
      </c>
      <c r="C7" s="154"/>
      <c r="D7" s="154"/>
      <c r="E7" s="154"/>
      <c r="F7" s="154"/>
      <c r="K7" s="21">
        <v>60</v>
      </c>
      <c r="L7" s="21">
        <f t="shared" si="1"/>
        <v>73200</v>
      </c>
      <c r="M7" s="66">
        <f t="shared" si="2"/>
        <v>0.16240861741898982</v>
      </c>
      <c r="N7" s="21"/>
      <c r="O7" s="21"/>
      <c r="P7" s="21"/>
      <c r="Q7" s="21"/>
      <c r="R7" s="21"/>
      <c r="S7" s="21"/>
      <c r="T7" s="21"/>
      <c r="U7" s="21"/>
      <c r="V7" s="21"/>
      <c r="W7" s="21"/>
      <c r="X7" s="21"/>
      <c r="Y7" s="21"/>
      <c r="Z7" s="21"/>
      <c r="AA7" s="21"/>
      <c r="AB7" s="21"/>
      <c r="AC7" s="66">
        <f t="shared" si="3"/>
        <v>-8.5298841720687444E-3</v>
      </c>
      <c r="AD7" s="66">
        <f t="shared" si="0"/>
        <v>-6.1868013645950903E-2</v>
      </c>
      <c r="AE7" s="66">
        <f t="shared" si="0"/>
        <v>-5.5644398464697389E-2</v>
      </c>
      <c r="AF7" s="66">
        <f t="shared" si="0"/>
        <v>-8.311155386371287E-2</v>
      </c>
      <c r="AG7" s="66">
        <f t="shared" si="0"/>
        <v>-7.3792303886031224E-2</v>
      </c>
      <c r="AH7" s="66">
        <f t="shared" si="0"/>
        <v>-0.19511677839877356</v>
      </c>
      <c r="AI7" s="66">
        <f t="shared" si="0"/>
        <v>-0.15561050167197032</v>
      </c>
      <c r="AJ7" s="66">
        <f t="shared" si="0"/>
        <v>-8.8241293824861428E-2</v>
      </c>
      <c r="AK7" s="66">
        <f t="shared" si="0"/>
        <v>-8.6977042406539945E-2</v>
      </c>
      <c r="AL7" s="66">
        <f t="shared" si="0"/>
        <v>-5.1783044088993598E-2</v>
      </c>
      <c r="AM7" s="66">
        <f t="shared" si="0"/>
        <v>-5.1695032040239744E-2</v>
      </c>
      <c r="AN7" s="66">
        <f t="shared" si="0"/>
        <v>-4.3137797645821194E-2</v>
      </c>
      <c r="AO7" s="21"/>
      <c r="AP7" s="21">
        <v>77.761899999999997</v>
      </c>
      <c r="AQ7" s="21">
        <v>84.772400000000005</v>
      </c>
      <c r="AR7" s="21">
        <v>82.355099999999993</v>
      </c>
      <c r="AS7" s="21">
        <v>75.788499999999999</v>
      </c>
      <c r="AT7" s="21">
        <v>69.520799999999994</v>
      </c>
      <c r="AU7" s="21">
        <v>49.508299999999998</v>
      </c>
      <c r="AV7" s="21">
        <v>49.462600000000002</v>
      </c>
      <c r="AW7" s="21">
        <v>41.668700000000001</v>
      </c>
      <c r="AX7" s="21">
        <v>112.294</v>
      </c>
      <c r="AY7" s="21">
        <v>110.345</v>
      </c>
      <c r="AZ7" s="21">
        <v>116.104</v>
      </c>
      <c r="BA7" s="21">
        <v>72.254499999999993</v>
      </c>
      <c r="BB7" s="21"/>
      <c r="BC7" s="21">
        <v>77.098600000000005</v>
      </c>
      <c r="BD7" s="21">
        <v>79.527699999999996</v>
      </c>
      <c r="BE7" s="21">
        <v>77.772499999999994</v>
      </c>
      <c r="BF7" s="21">
        <v>69.489599999999996</v>
      </c>
      <c r="BG7" s="21">
        <v>64.390699999999995</v>
      </c>
      <c r="BH7" s="21">
        <v>39.848399999999998</v>
      </c>
      <c r="BI7" s="21">
        <v>41.765700000000002</v>
      </c>
      <c r="BJ7" s="21">
        <v>37.991799999999998</v>
      </c>
      <c r="BK7" s="21">
        <v>102.527</v>
      </c>
      <c r="BL7" s="21">
        <v>104.631</v>
      </c>
      <c r="BM7" s="21">
        <v>110.102</v>
      </c>
      <c r="BN7" s="21">
        <v>69.137600000000006</v>
      </c>
    </row>
    <row r="8" spans="1:66" x14ac:dyDescent="0.4">
      <c r="A8" s="78" t="s">
        <v>76</v>
      </c>
      <c r="B8" s="154" t="s">
        <v>89</v>
      </c>
      <c r="C8" s="154"/>
      <c r="D8" s="154"/>
      <c r="E8" s="154"/>
      <c r="F8" s="154"/>
      <c r="K8" s="21">
        <v>70</v>
      </c>
      <c r="L8" s="21">
        <f t="shared" si="1"/>
        <v>85400</v>
      </c>
      <c r="M8" s="66">
        <f t="shared" si="2"/>
        <v>0.18947672032215479</v>
      </c>
      <c r="N8" s="21"/>
      <c r="O8" s="21"/>
      <c r="P8" s="21"/>
      <c r="Q8" s="21"/>
      <c r="R8" s="21"/>
      <c r="S8" s="21"/>
      <c r="T8" s="21"/>
      <c r="U8" s="21"/>
      <c r="V8" s="21"/>
      <c r="W8" s="21"/>
      <c r="X8" s="21"/>
      <c r="Y8" s="21"/>
      <c r="Z8" s="21"/>
      <c r="AA8" s="21"/>
      <c r="AB8" s="21"/>
      <c r="AC8" s="66">
        <f t="shared" si="3"/>
        <v>-9.7939993750152891E-3</v>
      </c>
      <c r="AD8" s="66">
        <f t="shared" si="0"/>
        <v>-6.4453760893875944E-2</v>
      </c>
      <c r="AE8" s="66">
        <f t="shared" si="0"/>
        <v>-5.6148313826344685E-2</v>
      </c>
      <c r="AF8" s="66">
        <f t="shared" si="0"/>
        <v>-8.8822182784987214E-2</v>
      </c>
      <c r="AG8" s="66">
        <f t="shared" si="0"/>
        <v>-7.8176603261182254E-2</v>
      </c>
      <c r="AH8" s="66">
        <f t="shared" si="0"/>
        <v>-0.1974537602785795</v>
      </c>
      <c r="AI8" s="66">
        <f t="shared" si="0"/>
        <v>-0.16358218128444521</v>
      </c>
      <c r="AJ8" s="66">
        <f t="shared" si="0"/>
        <v>-9.689047174497889E-2</v>
      </c>
      <c r="AK8" s="66">
        <f t="shared" si="0"/>
        <v>-9.4323828521559475E-2</v>
      </c>
      <c r="AL8" s="66">
        <f t="shared" si="0"/>
        <v>-5.5743350401014968E-2</v>
      </c>
      <c r="AM8" s="66">
        <f t="shared" si="0"/>
        <v>-5.6259904912836736E-2</v>
      </c>
      <c r="AN8" s="66">
        <f t="shared" si="0"/>
        <v>-4.7866914863433974E-2</v>
      </c>
      <c r="AO8" s="21"/>
      <c r="AP8" s="21">
        <v>77.761899999999997</v>
      </c>
      <c r="AQ8" s="21">
        <v>84.772400000000005</v>
      </c>
      <c r="AR8" s="21">
        <v>82.355099999999993</v>
      </c>
      <c r="AS8" s="21">
        <v>75.788499999999999</v>
      </c>
      <c r="AT8" s="21">
        <v>69.520799999999994</v>
      </c>
      <c r="AU8" s="21">
        <v>49.508299999999998</v>
      </c>
      <c r="AV8" s="21">
        <v>49.462600000000002</v>
      </c>
      <c r="AW8" s="21">
        <v>41.668700000000001</v>
      </c>
      <c r="AX8" s="21">
        <v>112.294</v>
      </c>
      <c r="AY8" s="21">
        <v>110.345</v>
      </c>
      <c r="AZ8" s="21">
        <v>116.104</v>
      </c>
      <c r="BA8" s="21">
        <v>72.254499999999993</v>
      </c>
      <c r="BB8" s="21"/>
      <c r="BC8" s="21">
        <v>77.000299999999996</v>
      </c>
      <c r="BD8" s="21">
        <v>79.308499999999995</v>
      </c>
      <c r="BE8" s="21">
        <v>77.730999999999995</v>
      </c>
      <c r="BF8" s="21">
        <v>69.056799999999996</v>
      </c>
      <c r="BG8" s="21">
        <v>64.085899999999995</v>
      </c>
      <c r="BH8" s="21">
        <v>39.732700000000001</v>
      </c>
      <c r="BI8" s="21">
        <v>41.371400000000001</v>
      </c>
      <c r="BJ8" s="21">
        <v>37.631399999999999</v>
      </c>
      <c r="BK8" s="21">
        <v>101.702</v>
      </c>
      <c r="BL8" s="21">
        <v>104.194</v>
      </c>
      <c r="BM8" s="21">
        <v>109.572</v>
      </c>
      <c r="BN8" s="21">
        <v>68.795900000000003</v>
      </c>
    </row>
    <row r="9" spans="1:66" x14ac:dyDescent="0.4">
      <c r="A9" s="78" t="s">
        <v>77</v>
      </c>
      <c r="B9" s="154" t="s">
        <v>90</v>
      </c>
      <c r="C9" s="154"/>
      <c r="D9" s="154"/>
      <c r="E9" s="154"/>
      <c r="F9" s="154"/>
      <c r="K9" s="21">
        <v>80</v>
      </c>
      <c r="L9" s="21">
        <f t="shared" si="1"/>
        <v>97600</v>
      </c>
      <c r="M9" s="66">
        <f t="shared" si="2"/>
        <v>0.21654482322531976</v>
      </c>
      <c r="N9" s="21"/>
      <c r="O9" s="21"/>
      <c r="P9" s="21"/>
      <c r="Q9" s="21"/>
      <c r="R9" s="21"/>
      <c r="S9" s="21"/>
      <c r="T9" s="21"/>
      <c r="U9" s="21"/>
      <c r="V9" s="21"/>
      <c r="W9" s="21"/>
      <c r="X9" s="21"/>
      <c r="Y9" s="21"/>
      <c r="Z9" s="21"/>
      <c r="AA9" s="21"/>
      <c r="AB9" s="21"/>
      <c r="AC9" s="66">
        <f t="shared" si="3"/>
        <v>-1.1058114577961652E-2</v>
      </c>
      <c r="AD9" s="66">
        <f t="shared" si="0"/>
        <v>-6.7039508141800985E-2</v>
      </c>
      <c r="AE9" s="66">
        <f t="shared" si="0"/>
        <v>-5.6653443441875333E-2</v>
      </c>
      <c r="AF9" s="66">
        <f t="shared" si="0"/>
        <v>-9.4532811706261557E-2</v>
      </c>
      <c r="AG9" s="66">
        <f t="shared" si="0"/>
        <v>-8.2559464217903084E-2</v>
      </c>
      <c r="AH9" s="66">
        <f t="shared" si="0"/>
        <v>-0.1974537602785795</v>
      </c>
      <c r="AI9" s="66">
        <f t="shared" si="0"/>
        <v>-0.1715558826264694</v>
      </c>
      <c r="AJ9" s="66">
        <f t="shared" si="0"/>
        <v>-0.10553964966509635</v>
      </c>
      <c r="AK9" s="66">
        <f t="shared" si="0"/>
        <v>-0.10166170944128802</v>
      </c>
      <c r="AL9" s="66">
        <f t="shared" si="0"/>
        <v>-5.9703656713036332E-2</v>
      </c>
      <c r="AM9" s="66">
        <f t="shared" si="0"/>
        <v>-6.0833390753117916E-2</v>
      </c>
      <c r="AN9" s="66">
        <f t="shared" si="0"/>
        <v>-5.1212035236559643E-2</v>
      </c>
      <c r="AO9" s="21"/>
      <c r="AP9" s="21">
        <v>77.761899999999997</v>
      </c>
      <c r="AQ9" s="21">
        <v>84.772400000000005</v>
      </c>
      <c r="AR9" s="21">
        <v>82.355099999999993</v>
      </c>
      <c r="AS9" s="21">
        <v>75.788499999999999</v>
      </c>
      <c r="AT9" s="21">
        <v>69.520799999999994</v>
      </c>
      <c r="AU9" s="21">
        <v>49.508299999999998</v>
      </c>
      <c r="AV9" s="21">
        <v>49.462600000000002</v>
      </c>
      <c r="AW9" s="21">
        <v>41.668700000000001</v>
      </c>
      <c r="AX9" s="21">
        <v>112.294</v>
      </c>
      <c r="AY9" s="21">
        <v>110.345</v>
      </c>
      <c r="AZ9" s="21">
        <v>116.104</v>
      </c>
      <c r="BA9" s="21">
        <v>72.254499999999993</v>
      </c>
      <c r="BB9" s="21"/>
      <c r="BC9" s="21">
        <v>76.902000000000001</v>
      </c>
      <c r="BD9" s="21">
        <v>79.089299999999994</v>
      </c>
      <c r="BE9" s="21">
        <v>77.689400000000006</v>
      </c>
      <c r="BF9" s="21">
        <v>68.623999999999995</v>
      </c>
      <c r="BG9" s="21">
        <v>63.781199999999998</v>
      </c>
      <c r="BH9" s="21">
        <v>39.732700000000001</v>
      </c>
      <c r="BI9" s="21">
        <v>40.976999999999997</v>
      </c>
      <c r="BJ9" s="21">
        <v>37.271000000000001</v>
      </c>
      <c r="BK9" s="21">
        <v>100.878</v>
      </c>
      <c r="BL9" s="21">
        <v>103.75700000000001</v>
      </c>
      <c r="BM9" s="21">
        <v>109.041</v>
      </c>
      <c r="BN9" s="21">
        <v>68.554199999999994</v>
      </c>
    </row>
    <row r="10" spans="1:66" x14ac:dyDescent="0.4">
      <c r="A10" s="78" t="s">
        <v>78</v>
      </c>
      <c r="B10" s="154" t="s">
        <v>96</v>
      </c>
      <c r="C10" s="154"/>
      <c r="D10" s="154"/>
      <c r="E10" s="154"/>
      <c r="F10" s="154"/>
      <c r="K10" s="21">
        <v>90</v>
      </c>
      <c r="L10" s="21">
        <f t="shared" si="1"/>
        <v>109800</v>
      </c>
      <c r="M10" s="66">
        <f t="shared" si="2"/>
        <v>0.24361292612848473</v>
      </c>
      <c r="N10" s="21"/>
      <c r="O10" s="21"/>
      <c r="P10" s="21"/>
      <c r="Q10" s="21"/>
      <c r="R10" s="21"/>
      <c r="S10" s="21"/>
      <c r="T10" s="21"/>
      <c r="U10" s="21"/>
      <c r="V10" s="21"/>
      <c r="W10" s="21"/>
      <c r="X10" s="21"/>
      <c r="Y10" s="21"/>
      <c r="Z10" s="21"/>
      <c r="AA10" s="21"/>
      <c r="AB10" s="21"/>
      <c r="AC10" s="66">
        <f t="shared" si="3"/>
        <v>-1.2322229780908014E-2</v>
      </c>
      <c r="AD10" s="66">
        <f t="shared" si="0"/>
        <v>-6.9626435018944846E-2</v>
      </c>
      <c r="AE10" s="66">
        <f t="shared" si="0"/>
        <v>-5.7158573057406153E-2</v>
      </c>
      <c r="AF10" s="66">
        <f t="shared" si="0"/>
        <v>-0.1002434406275359</v>
      </c>
      <c r="AG10" s="66">
        <f t="shared" si="0"/>
        <v>-8.6943763593054113E-2</v>
      </c>
      <c r="AH10" s="66">
        <f t="shared" si="0"/>
        <v>-0.1974537602785795</v>
      </c>
      <c r="AI10" s="66">
        <f t="shared" si="0"/>
        <v>-0.17952958396849342</v>
      </c>
      <c r="AJ10" s="66">
        <f t="shared" si="0"/>
        <v>-0.11419122746809961</v>
      </c>
      <c r="AK10" s="66">
        <f t="shared" si="0"/>
        <v>-0.10842075266710596</v>
      </c>
      <c r="AL10" s="66">
        <f t="shared" si="0"/>
        <v>-6.3654900539217921E-2</v>
      </c>
      <c r="AM10" s="66">
        <f t="shared" si="0"/>
        <v>-6.3968510990146707E-2</v>
      </c>
      <c r="AN10" s="66">
        <f t="shared" si="0"/>
        <v>-5.1212035236559643E-2</v>
      </c>
      <c r="AO10" s="21"/>
      <c r="AP10" s="21">
        <v>77.761899999999997</v>
      </c>
      <c r="AQ10" s="21">
        <v>84.772400000000005</v>
      </c>
      <c r="AR10" s="21">
        <v>82.355099999999993</v>
      </c>
      <c r="AS10" s="21">
        <v>75.788499999999999</v>
      </c>
      <c r="AT10" s="21">
        <v>69.520799999999994</v>
      </c>
      <c r="AU10" s="21">
        <v>49.508299999999998</v>
      </c>
      <c r="AV10" s="21">
        <v>49.462600000000002</v>
      </c>
      <c r="AW10" s="21">
        <v>41.668700000000001</v>
      </c>
      <c r="AX10" s="21">
        <v>112.294</v>
      </c>
      <c r="AY10" s="21">
        <v>110.345</v>
      </c>
      <c r="AZ10" s="21">
        <v>116.104</v>
      </c>
      <c r="BA10" s="21">
        <v>72.254499999999993</v>
      </c>
      <c r="BB10" s="21"/>
      <c r="BC10" s="21">
        <v>76.803700000000006</v>
      </c>
      <c r="BD10" s="21">
        <v>78.87</v>
      </c>
      <c r="BE10" s="21">
        <v>77.647800000000004</v>
      </c>
      <c r="BF10" s="21">
        <v>68.191199999999995</v>
      </c>
      <c r="BG10" s="21">
        <v>63.476399999999998</v>
      </c>
      <c r="BH10" s="21">
        <v>39.732700000000001</v>
      </c>
      <c r="BI10" s="21">
        <v>40.582599999999999</v>
      </c>
      <c r="BJ10" s="21">
        <v>36.910499999999999</v>
      </c>
      <c r="BK10" s="21">
        <v>100.119</v>
      </c>
      <c r="BL10" s="21">
        <v>103.321</v>
      </c>
      <c r="BM10" s="21">
        <v>108.67700000000001</v>
      </c>
      <c r="BN10" s="21">
        <v>68.554199999999994</v>
      </c>
    </row>
    <row r="11" spans="1:66" x14ac:dyDescent="0.4">
      <c r="A11" s="78" t="s">
        <v>79</v>
      </c>
      <c r="B11" s="154" t="s">
        <v>92</v>
      </c>
      <c r="C11" s="154"/>
      <c r="D11" s="154"/>
      <c r="E11" s="154"/>
      <c r="F11" s="154"/>
      <c r="K11" s="21">
        <v>100</v>
      </c>
      <c r="L11" s="21">
        <f t="shared" si="1"/>
        <v>122000</v>
      </c>
      <c r="M11" s="66">
        <f t="shared" si="2"/>
        <v>0.2706810290316497</v>
      </c>
      <c r="N11" s="21"/>
      <c r="O11" s="21"/>
      <c r="P11" s="21"/>
      <c r="Q11" s="21"/>
      <c r="R11" s="21"/>
      <c r="S11" s="21"/>
      <c r="T11" s="21"/>
      <c r="U11" s="21"/>
      <c r="V11" s="21"/>
      <c r="W11" s="21"/>
      <c r="X11" s="21"/>
      <c r="Y11" s="21"/>
      <c r="Z11" s="21"/>
      <c r="AA11" s="21"/>
      <c r="AB11" s="21"/>
      <c r="AC11" s="66">
        <f t="shared" si="3"/>
        <v>-1.3586344983854559E-2</v>
      </c>
      <c r="AD11" s="66">
        <f t="shared" si="0"/>
        <v>-7.2212182266869887E-2</v>
      </c>
      <c r="AE11" s="66">
        <f t="shared" si="0"/>
        <v>-5.7663702672936981E-2</v>
      </c>
      <c r="AF11" s="66">
        <f t="shared" si="0"/>
        <v>-0.10595406954881023</v>
      </c>
      <c r="AG11" s="66">
        <f t="shared" si="0"/>
        <v>-9.1328062968205156E-2</v>
      </c>
      <c r="AH11" s="66">
        <f t="shared" si="0"/>
        <v>-0.1974537602785795</v>
      </c>
      <c r="AI11" s="66">
        <f t="shared" si="0"/>
        <v>-0.1875012635809683</v>
      </c>
      <c r="AJ11" s="66">
        <f t="shared" si="0"/>
        <v>-0.1220940418107596</v>
      </c>
      <c r="AK11" s="66">
        <f t="shared" si="0"/>
        <v>-0.11316544071811488</v>
      </c>
      <c r="AL11" s="66">
        <f t="shared" si="0"/>
        <v>-6.7615206851239285E-2</v>
      </c>
      <c r="AM11" s="66">
        <f t="shared" si="0"/>
        <v>-6.5958106525184329E-2</v>
      </c>
      <c r="AN11" s="66">
        <f t="shared" si="0"/>
        <v>-5.1212035236559643E-2</v>
      </c>
      <c r="AO11" s="21"/>
      <c r="AP11" s="21">
        <v>77.761899999999997</v>
      </c>
      <c r="AQ11" s="21">
        <v>84.772400000000005</v>
      </c>
      <c r="AR11" s="21">
        <v>82.355099999999993</v>
      </c>
      <c r="AS11" s="21">
        <v>75.788499999999999</v>
      </c>
      <c r="AT11" s="21">
        <v>69.520799999999994</v>
      </c>
      <c r="AU11" s="21">
        <v>49.508299999999998</v>
      </c>
      <c r="AV11" s="21">
        <v>49.462600000000002</v>
      </c>
      <c r="AW11" s="21">
        <v>41.668700000000001</v>
      </c>
      <c r="AX11" s="21">
        <v>112.294</v>
      </c>
      <c r="AY11" s="21">
        <v>110.345</v>
      </c>
      <c r="AZ11" s="21">
        <v>116.104</v>
      </c>
      <c r="BA11" s="21">
        <v>72.254499999999993</v>
      </c>
      <c r="BB11" s="21"/>
      <c r="BC11" s="21">
        <v>76.705399999999997</v>
      </c>
      <c r="BD11" s="21">
        <v>78.650800000000004</v>
      </c>
      <c r="BE11" s="21">
        <v>77.606200000000001</v>
      </c>
      <c r="BF11" s="21">
        <v>67.758399999999995</v>
      </c>
      <c r="BG11" s="21">
        <v>63.171599999999998</v>
      </c>
      <c r="BH11" s="21">
        <v>39.732700000000001</v>
      </c>
      <c r="BI11" s="21">
        <v>40.188299999999998</v>
      </c>
      <c r="BJ11" s="21">
        <v>36.581200000000003</v>
      </c>
      <c r="BK11" s="21">
        <v>99.586200000000005</v>
      </c>
      <c r="BL11" s="21">
        <v>102.884</v>
      </c>
      <c r="BM11" s="21">
        <v>108.446</v>
      </c>
      <c r="BN11" s="21">
        <v>68.554199999999994</v>
      </c>
    </row>
    <row r="12" spans="1:66" x14ac:dyDescent="0.4">
      <c r="A12" s="78" t="s">
        <v>80</v>
      </c>
      <c r="B12" s="154" t="s">
        <v>93</v>
      </c>
      <c r="C12" s="154"/>
      <c r="D12" s="154"/>
      <c r="E12" s="154"/>
      <c r="F12" s="154"/>
      <c r="K12" s="21">
        <v>110</v>
      </c>
      <c r="L12" s="21">
        <f t="shared" si="1"/>
        <v>134200</v>
      </c>
      <c r="M12" s="66">
        <f t="shared" si="2"/>
        <v>0.29774913193481467</v>
      </c>
      <c r="N12" s="21"/>
      <c r="O12" s="21"/>
      <c r="P12" s="21"/>
      <c r="Q12" s="21"/>
      <c r="R12" s="21"/>
      <c r="S12" s="21"/>
      <c r="T12" s="21"/>
      <c r="U12" s="21"/>
      <c r="V12" s="21"/>
      <c r="W12" s="21"/>
      <c r="X12" s="21"/>
      <c r="Y12" s="21"/>
      <c r="Z12" s="21"/>
      <c r="AA12" s="21"/>
      <c r="AB12" s="21"/>
      <c r="AC12" s="66">
        <f t="shared" si="3"/>
        <v>-1.4850460186800921E-2</v>
      </c>
      <c r="AD12" s="66">
        <f t="shared" si="0"/>
        <v>-7.4797929514794928E-2</v>
      </c>
      <c r="AE12" s="66">
        <f t="shared" si="0"/>
        <v>-5.8167618034584277E-2</v>
      </c>
      <c r="AF12" s="66">
        <f t="shared" si="0"/>
        <v>-0.11166469847008458</v>
      </c>
      <c r="AG12" s="66">
        <f t="shared" si="0"/>
        <v>-9.5710923924925972E-2</v>
      </c>
      <c r="AH12" s="66">
        <f t="shared" si="0"/>
        <v>-0.1974537602785795</v>
      </c>
      <c r="AI12" s="66">
        <f t="shared" si="0"/>
        <v>-0.19547496492299235</v>
      </c>
      <c r="AJ12" s="66">
        <f t="shared" si="0"/>
        <v>-0.12779616354721887</v>
      </c>
      <c r="AK12" s="66">
        <f t="shared" si="0"/>
        <v>-0.11689671754501579</v>
      </c>
      <c r="AL12" s="66">
        <f t="shared" si="0"/>
        <v>-7.1575513163260648E-2</v>
      </c>
      <c r="AM12" s="66">
        <f t="shared" si="0"/>
        <v>-6.7672087094329217E-2</v>
      </c>
      <c r="AN12" s="66">
        <f t="shared" si="0"/>
        <v>-5.1212035236559643E-2</v>
      </c>
      <c r="AO12" s="21"/>
      <c r="AP12" s="21">
        <v>77.761899999999997</v>
      </c>
      <c r="AQ12" s="21">
        <v>84.772400000000005</v>
      </c>
      <c r="AR12" s="21">
        <v>82.355099999999993</v>
      </c>
      <c r="AS12" s="21">
        <v>75.788499999999999</v>
      </c>
      <c r="AT12" s="21">
        <v>69.520799999999994</v>
      </c>
      <c r="AU12" s="21">
        <v>49.508299999999998</v>
      </c>
      <c r="AV12" s="21">
        <v>49.462600000000002</v>
      </c>
      <c r="AW12" s="21">
        <v>41.668700000000001</v>
      </c>
      <c r="AX12" s="21">
        <v>112.294</v>
      </c>
      <c r="AY12" s="21">
        <v>110.345</v>
      </c>
      <c r="AZ12" s="21">
        <v>116.104</v>
      </c>
      <c r="BA12" s="21">
        <v>72.254499999999993</v>
      </c>
      <c r="BB12" s="21"/>
      <c r="BC12" s="21">
        <v>76.607100000000003</v>
      </c>
      <c r="BD12" s="21">
        <v>78.431600000000003</v>
      </c>
      <c r="BE12" s="21">
        <v>77.564700000000002</v>
      </c>
      <c r="BF12" s="21">
        <v>67.325599999999994</v>
      </c>
      <c r="BG12" s="21">
        <v>62.866900000000001</v>
      </c>
      <c r="BH12" s="21">
        <v>39.732700000000001</v>
      </c>
      <c r="BI12" s="21">
        <v>39.793900000000001</v>
      </c>
      <c r="BJ12" s="21">
        <v>36.343600000000002</v>
      </c>
      <c r="BK12" s="21">
        <v>99.167199999999994</v>
      </c>
      <c r="BL12" s="21">
        <v>102.447</v>
      </c>
      <c r="BM12" s="21">
        <v>108.247</v>
      </c>
      <c r="BN12" s="21">
        <v>68.554199999999994</v>
      </c>
    </row>
    <row r="13" spans="1:66" x14ac:dyDescent="0.4">
      <c r="A13" s="78" t="s">
        <v>81</v>
      </c>
      <c r="B13" s="154" t="s">
        <v>94</v>
      </c>
      <c r="C13" s="154"/>
      <c r="D13" s="154"/>
      <c r="E13" s="154"/>
      <c r="F13" s="154"/>
      <c r="K13" s="21">
        <v>120</v>
      </c>
      <c r="L13" s="21">
        <f t="shared" si="1"/>
        <v>146400</v>
      </c>
      <c r="M13" s="66">
        <f t="shared" si="2"/>
        <v>0.32481723483797964</v>
      </c>
      <c r="N13" s="21"/>
      <c r="O13" s="21"/>
      <c r="P13" s="21"/>
      <c r="Q13" s="21"/>
      <c r="R13" s="21"/>
      <c r="S13" s="21"/>
      <c r="T13" s="21"/>
      <c r="U13" s="21"/>
      <c r="V13" s="21"/>
      <c r="W13" s="21"/>
      <c r="X13" s="21"/>
      <c r="Y13" s="21"/>
      <c r="Z13" s="21"/>
      <c r="AA13" s="21"/>
      <c r="AB13" s="21"/>
      <c r="AC13" s="66">
        <f t="shared" si="3"/>
        <v>-1.6114575389747466E-2</v>
      </c>
      <c r="AD13" s="66">
        <f t="shared" si="0"/>
        <v>-7.7383676762719969E-2</v>
      </c>
      <c r="AE13" s="66">
        <f t="shared" si="0"/>
        <v>-5.8672747650115098E-2</v>
      </c>
      <c r="AF13" s="66">
        <f t="shared" si="0"/>
        <v>-0.11737400792996301</v>
      </c>
      <c r="AG13" s="66">
        <f t="shared" si="0"/>
        <v>-0.10009522330007702</v>
      </c>
      <c r="AH13" s="66">
        <f t="shared" si="0"/>
        <v>-0.1974537602785795</v>
      </c>
      <c r="AI13" s="66">
        <f t="shared" si="0"/>
        <v>-0.20344664453546724</v>
      </c>
      <c r="AJ13" s="66">
        <f t="shared" si="0"/>
        <v>-0.13350068516656394</v>
      </c>
      <c r="AK13" s="66">
        <f t="shared" si="0"/>
        <v>-0.11689671754501579</v>
      </c>
      <c r="AL13" s="66">
        <f t="shared" si="0"/>
        <v>-7.5535819475282012E-2</v>
      </c>
      <c r="AM13" s="66">
        <f t="shared" si="0"/>
        <v>-6.9394680631158293E-2</v>
      </c>
      <c r="AN13" s="66">
        <f t="shared" si="0"/>
        <v>-5.1212035236559643E-2</v>
      </c>
      <c r="AO13" s="21"/>
      <c r="AP13" s="21">
        <v>77.761899999999997</v>
      </c>
      <c r="AQ13" s="21">
        <v>84.772400000000005</v>
      </c>
      <c r="AR13" s="21">
        <v>82.355099999999993</v>
      </c>
      <c r="AS13" s="21">
        <v>75.788499999999999</v>
      </c>
      <c r="AT13" s="21">
        <v>69.520799999999994</v>
      </c>
      <c r="AU13" s="21">
        <v>49.508299999999998</v>
      </c>
      <c r="AV13" s="21">
        <v>49.462600000000002</v>
      </c>
      <c r="AW13" s="21">
        <v>41.668700000000001</v>
      </c>
      <c r="AX13" s="21">
        <v>112.294</v>
      </c>
      <c r="AY13" s="21">
        <v>110.345</v>
      </c>
      <c r="AZ13" s="21">
        <v>116.104</v>
      </c>
      <c r="BA13" s="21">
        <v>72.254499999999993</v>
      </c>
      <c r="BB13" s="21"/>
      <c r="BC13" s="21">
        <v>76.508799999999994</v>
      </c>
      <c r="BD13" s="21">
        <v>78.212400000000002</v>
      </c>
      <c r="BE13" s="21">
        <v>77.523099999999999</v>
      </c>
      <c r="BF13" s="21">
        <v>66.892899999999997</v>
      </c>
      <c r="BG13" s="21">
        <v>62.562100000000001</v>
      </c>
      <c r="BH13" s="21">
        <v>39.732700000000001</v>
      </c>
      <c r="BI13" s="21">
        <v>39.3996</v>
      </c>
      <c r="BJ13" s="21">
        <v>36.105899999999998</v>
      </c>
      <c r="BK13" s="21">
        <v>99.167199999999994</v>
      </c>
      <c r="BL13" s="21">
        <v>102.01</v>
      </c>
      <c r="BM13" s="21">
        <v>108.047</v>
      </c>
      <c r="BN13" s="21">
        <v>68.554199999999994</v>
      </c>
    </row>
    <row r="14" spans="1:66" x14ac:dyDescent="0.4">
      <c r="K14" s="21">
        <v>130</v>
      </c>
      <c r="L14" s="21">
        <f t="shared" si="1"/>
        <v>158600</v>
      </c>
      <c r="M14" s="66">
        <f t="shared" si="2"/>
        <v>0.35188533774114461</v>
      </c>
      <c r="N14" s="21"/>
      <c r="O14" s="21"/>
      <c r="P14" s="21"/>
      <c r="Q14" s="21"/>
      <c r="R14" s="21"/>
      <c r="S14" s="21"/>
      <c r="T14" s="21"/>
      <c r="U14" s="21"/>
      <c r="V14" s="21"/>
      <c r="W14" s="21"/>
      <c r="X14" s="21"/>
      <c r="Y14" s="21"/>
      <c r="Z14" s="21"/>
      <c r="AA14" s="21"/>
      <c r="AB14" s="21"/>
      <c r="AC14" s="66">
        <f t="shared" si="3"/>
        <v>-1.7378690592693827E-2</v>
      </c>
      <c r="AD14" s="66">
        <f t="shared" si="0"/>
        <v>-7.996942401064501E-2</v>
      </c>
      <c r="AE14" s="66">
        <f t="shared" si="0"/>
        <v>-5.9177877265645926E-2</v>
      </c>
      <c r="AF14" s="66">
        <f t="shared" si="0"/>
        <v>-0.12308463685123736</v>
      </c>
      <c r="AG14" s="66">
        <f t="shared" si="0"/>
        <v>-0.10447952267522805</v>
      </c>
      <c r="AH14" s="66">
        <f t="shared" si="0"/>
        <v>-0.1974537602785795</v>
      </c>
      <c r="AI14" s="66">
        <f t="shared" si="0"/>
        <v>-0.21142034587749126</v>
      </c>
      <c r="AJ14" s="66">
        <f t="shared" si="0"/>
        <v>-0.1392028069030232</v>
      </c>
      <c r="AK14" s="66">
        <f t="shared" si="0"/>
        <v>-0.11689671754501579</v>
      </c>
      <c r="AL14" s="66">
        <f t="shared" si="0"/>
        <v>-7.9496125787303515E-2</v>
      </c>
      <c r="AM14" s="66">
        <f t="shared" si="0"/>
        <v>-7.110866120030318E-2</v>
      </c>
      <c r="AN14" s="66">
        <f t="shared" si="0"/>
        <v>-5.1212035236559643E-2</v>
      </c>
      <c r="AO14" s="21"/>
      <c r="AP14" s="21">
        <v>77.761899999999997</v>
      </c>
      <c r="AQ14" s="21">
        <v>84.772400000000005</v>
      </c>
      <c r="AR14" s="21">
        <v>82.355099999999993</v>
      </c>
      <c r="AS14" s="21">
        <v>75.788499999999999</v>
      </c>
      <c r="AT14" s="21">
        <v>69.520799999999994</v>
      </c>
      <c r="AU14" s="21">
        <v>49.508299999999998</v>
      </c>
      <c r="AV14" s="21">
        <v>49.462600000000002</v>
      </c>
      <c r="AW14" s="21">
        <v>41.668700000000001</v>
      </c>
      <c r="AX14" s="21">
        <v>112.294</v>
      </c>
      <c r="AY14" s="21">
        <v>110.345</v>
      </c>
      <c r="AZ14" s="21">
        <v>116.104</v>
      </c>
      <c r="BA14" s="21">
        <v>72.254499999999993</v>
      </c>
      <c r="BB14" s="21"/>
      <c r="BC14" s="21">
        <v>76.410499999999999</v>
      </c>
      <c r="BD14" s="21">
        <v>77.993200000000002</v>
      </c>
      <c r="BE14" s="21">
        <v>77.481499999999997</v>
      </c>
      <c r="BF14" s="21">
        <v>66.460099999999997</v>
      </c>
      <c r="BG14" s="21">
        <v>62.257300000000001</v>
      </c>
      <c r="BH14" s="21">
        <v>39.732700000000001</v>
      </c>
      <c r="BI14" s="21">
        <v>39.005200000000002</v>
      </c>
      <c r="BJ14" s="21">
        <v>35.868299999999998</v>
      </c>
      <c r="BK14" s="21">
        <v>99.167199999999994</v>
      </c>
      <c r="BL14" s="21">
        <v>101.57299999999999</v>
      </c>
      <c r="BM14" s="21">
        <v>107.848</v>
      </c>
      <c r="BN14" s="21">
        <v>68.554199999999994</v>
      </c>
    </row>
    <row r="15" spans="1:66" x14ac:dyDescent="0.4">
      <c r="K15" s="21">
        <v>140</v>
      </c>
      <c r="L15" s="21">
        <f t="shared" si="1"/>
        <v>170800</v>
      </c>
      <c r="M15" s="66">
        <f t="shared" si="2"/>
        <v>0.37895344064430958</v>
      </c>
      <c r="N15" s="21"/>
      <c r="O15" s="21"/>
      <c r="P15" s="21"/>
      <c r="Q15" s="21"/>
      <c r="R15" s="21"/>
      <c r="S15" s="21"/>
      <c r="T15" s="21"/>
      <c r="U15" s="21"/>
      <c r="V15" s="21"/>
      <c r="W15" s="21"/>
      <c r="X15" s="21"/>
      <c r="Y15" s="21"/>
      <c r="Z15" s="21"/>
      <c r="AA15" s="21"/>
      <c r="AB15" s="21"/>
      <c r="AC15" s="66">
        <f t="shared" si="3"/>
        <v>-1.8642805795640191E-2</v>
      </c>
      <c r="AD15" s="66">
        <f t="shared" si="0"/>
        <v>-8.2556350887789023E-2</v>
      </c>
      <c r="AE15" s="66">
        <f t="shared" si="0"/>
        <v>-5.9683006881176746E-2</v>
      </c>
      <c r="AF15" s="66">
        <f t="shared" si="0"/>
        <v>-0.12879526577251169</v>
      </c>
      <c r="AG15" s="66">
        <f t="shared" si="0"/>
        <v>-0.10886238363194897</v>
      </c>
      <c r="AH15" s="66">
        <f t="shared" si="0"/>
        <v>-0.1974537602785795</v>
      </c>
      <c r="AI15" s="66">
        <f t="shared" si="0"/>
        <v>-0.21939202548996617</v>
      </c>
      <c r="AJ15" s="66">
        <f t="shared" si="0"/>
        <v>-0.1449073285223681</v>
      </c>
      <c r="AK15" s="66">
        <f t="shared" si="0"/>
        <v>-0.11689671754501579</v>
      </c>
      <c r="AL15" s="66">
        <f t="shared" si="0"/>
        <v>-8.3456432099324879E-2</v>
      </c>
      <c r="AM15" s="66">
        <f t="shared" si="0"/>
        <v>-7.2262798869978648E-2</v>
      </c>
      <c r="AN15" s="66">
        <f t="shared" si="0"/>
        <v>-5.1212035236559643E-2</v>
      </c>
      <c r="AO15" s="21"/>
      <c r="AP15" s="21">
        <v>77.761899999999997</v>
      </c>
      <c r="AQ15" s="21">
        <v>84.772400000000005</v>
      </c>
      <c r="AR15" s="21">
        <v>82.355099999999993</v>
      </c>
      <c r="AS15" s="21">
        <v>75.788499999999999</v>
      </c>
      <c r="AT15" s="21">
        <v>69.520799999999994</v>
      </c>
      <c r="AU15" s="21">
        <v>49.508299999999998</v>
      </c>
      <c r="AV15" s="21">
        <v>49.462600000000002</v>
      </c>
      <c r="AW15" s="21">
        <v>41.668700000000001</v>
      </c>
      <c r="AX15" s="21">
        <v>112.294</v>
      </c>
      <c r="AY15" s="21">
        <v>110.345</v>
      </c>
      <c r="AZ15" s="21">
        <v>116.104</v>
      </c>
      <c r="BA15" s="21">
        <v>72.254499999999993</v>
      </c>
      <c r="BB15" s="21"/>
      <c r="BC15" s="21">
        <v>76.312200000000004</v>
      </c>
      <c r="BD15" s="21">
        <v>77.773899999999998</v>
      </c>
      <c r="BE15" s="21">
        <v>77.439899999999994</v>
      </c>
      <c r="BF15" s="21">
        <v>66.027299999999997</v>
      </c>
      <c r="BG15" s="21">
        <v>61.952599999999997</v>
      </c>
      <c r="BH15" s="21">
        <v>39.732700000000001</v>
      </c>
      <c r="BI15" s="21">
        <v>38.610900000000001</v>
      </c>
      <c r="BJ15" s="21">
        <v>35.630600000000001</v>
      </c>
      <c r="BK15" s="21">
        <v>99.167199999999994</v>
      </c>
      <c r="BL15" s="21">
        <v>101.136</v>
      </c>
      <c r="BM15" s="21">
        <v>107.714</v>
      </c>
      <c r="BN15" s="21">
        <v>68.554199999999994</v>
      </c>
    </row>
    <row r="16" spans="1:66" x14ac:dyDescent="0.4">
      <c r="K16" s="21">
        <v>150</v>
      </c>
      <c r="L16" s="21">
        <f t="shared" si="1"/>
        <v>183000</v>
      </c>
      <c r="M16" s="66">
        <f t="shared" si="2"/>
        <v>0.40602154354747455</v>
      </c>
      <c r="N16" s="21"/>
      <c r="O16" s="21"/>
      <c r="P16" s="21"/>
      <c r="Q16" s="21"/>
      <c r="R16" s="21"/>
      <c r="S16" s="21"/>
      <c r="T16" s="21"/>
      <c r="U16" s="21"/>
      <c r="V16" s="21"/>
      <c r="W16" s="21"/>
      <c r="X16" s="21"/>
      <c r="Y16" s="21"/>
      <c r="Z16" s="21"/>
      <c r="AA16" s="21"/>
      <c r="AB16" s="21"/>
      <c r="AC16" s="66">
        <f t="shared" si="3"/>
        <v>-1.9906920998586736E-2</v>
      </c>
      <c r="AD16" s="66">
        <f t="shared" si="0"/>
        <v>-8.5142098135714064E-2</v>
      </c>
      <c r="AE16" s="66">
        <f t="shared" si="0"/>
        <v>-6.0188136496707401E-2</v>
      </c>
      <c r="AF16" s="66">
        <f t="shared" si="0"/>
        <v>-0.13450589469378604</v>
      </c>
      <c r="AG16" s="66">
        <f t="shared" si="0"/>
        <v>-0.1132466830071</v>
      </c>
      <c r="AH16" s="66">
        <f t="shared" si="0"/>
        <v>-0.1974537602785795</v>
      </c>
      <c r="AI16" s="66">
        <f t="shared" si="0"/>
        <v>-0.22736572683199019</v>
      </c>
      <c r="AJ16" s="66">
        <f t="shared" si="0"/>
        <v>-0.15040066044777023</v>
      </c>
      <c r="AK16" s="66">
        <f t="shared" si="0"/>
        <v>-0.11689671754501579</v>
      </c>
      <c r="AL16" s="66">
        <f t="shared" si="0"/>
        <v>-8.5767365988490635E-2</v>
      </c>
      <c r="AM16" s="66">
        <f t="shared" si="0"/>
        <v>-7.2788189898711442E-2</v>
      </c>
      <c r="AN16" s="66">
        <f t="shared" si="0"/>
        <v>-5.1212035236559643E-2</v>
      </c>
      <c r="AO16" s="21"/>
      <c r="AP16" s="21">
        <v>77.761899999999997</v>
      </c>
      <c r="AQ16" s="21">
        <v>84.772400000000005</v>
      </c>
      <c r="AR16" s="21">
        <v>82.355099999999993</v>
      </c>
      <c r="AS16" s="21">
        <v>75.788499999999999</v>
      </c>
      <c r="AT16" s="21">
        <v>69.520799999999994</v>
      </c>
      <c r="AU16" s="21">
        <v>49.508299999999998</v>
      </c>
      <c r="AV16" s="21">
        <v>49.462600000000002</v>
      </c>
      <c r="AW16" s="21">
        <v>41.668700000000001</v>
      </c>
      <c r="AX16" s="21">
        <v>112.294</v>
      </c>
      <c r="AY16" s="21">
        <v>110.345</v>
      </c>
      <c r="AZ16" s="21">
        <v>116.104</v>
      </c>
      <c r="BA16" s="21">
        <v>72.254499999999993</v>
      </c>
      <c r="BB16" s="21"/>
      <c r="BC16" s="21">
        <v>76.213899999999995</v>
      </c>
      <c r="BD16" s="21">
        <v>77.554699999999997</v>
      </c>
      <c r="BE16" s="21">
        <v>77.398300000000006</v>
      </c>
      <c r="BF16" s="21">
        <v>65.594499999999996</v>
      </c>
      <c r="BG16" s="21">
        <v>61.647799999999997</v>
      </c>
      <c r="BH16" s="21">
        <v>39.732700000000001</v>
      </c>
      <c r="BI16" s="21">
        <v>38.216500000000003</v>
      </c>
      <c r="BJ16" s="21">
        <v>35.401699999999998</v>
      </c>
      <c r="BK16" s="21">
        <v>99.167199999999994</v>
      </c>
      <c r="BL16" s="21">
        <v>100.881</v>
      </c>
      <c r="BM16" s="21">
        <v>107.65300000000001</v>
      </c>
      <c r="BN16" s="21">
        <v>68.554199999999994</v>
      </c>
    </row>
    <row r="17" spans="11:66" x14ac:dyDescent="0.4">
      <c r="K17" s="21">
        <v>160</v>
      </c>
      <c r="L17" s="21">
        <f t="shared" si="1"/>
        <v>195200</v>
      </c>
      <c r="M17" s="66">
        <f t="shared" si="2"/>
        <v>0.43308964645063952</v>
      </c>
      <c r="N17" s="21"/>
      <c r="O17" s="21"/>
      <c r="P17" s="21"/>
      <c r="Q17" s="21"/>
      <c r="R17" s="21"/>
      <c r="S17" s="21"/>
      <c r="T17" s="21"/>
      <c r="U17" s="21"/>
      <c r="V17" s="21"/>
      <c r="W17" s="21"/>
      <c r="X17" s="21"/>
      <c r="Y17" s="21"/>
      <c r="Z17" s="21"/>
      <c r="AA17" s="21"/>
      <c r="AB17" s="21"/>
      <c r="AC17" s="66">
        <f t="shared" si="3"/>
        <v>-2.1171036201533096E-2</v>
      </c>
      <c r="AD17" s="66">
        <f t="shared" si="0"/>
        <v>-8.7727845383639105E-2</v>
      </c>
      <c r="AE17" s="66">
        <f t="shared" si="0"/>
        <v>-6.0692051858354697E-2</v>
      </c>
      <c r="AF17" s="66">
        <f t="shared" si="0"/>
        <v>-0.14021652361506037</v>
      </c>
      <c r="AG17" s="66">
        <f t="shared" si="0"/>
        <v>-0.11763098238225095</v>
      </c>
      <c r="AH17" s="66">
        <f t="shared" si="0"/>
        <v>-0.1974537602785795</v>
      </c>
      <c r="AI17" s="66">
        <f t="shared" si="0"/>
        <v>-0.2353374064444651</v>
      </c>
      <c r="AJ17" s="66">
        <f t="shared" si="0"/>
        <v>-0.15160300177351352</v>
      </c>
      <c r="AK17" s="66">
        <f t="shared" si="0"/>
        <v>-0.11689671754501579</v>
      </c>
      <c r="AL17" s="66">
        <f t="shared" si="0"/>
        <v>-8.5767365988490635E-2</v>
      </c>
      <c r="AM17" s="66">
        <f t="shared" si="0"/>
        <v>-7.3313580927444361E-2</v>
      </c>
      <c r="AN17" s="66">
        <f t="shared" si="0"/>
        <v>-5.1212035236559643E-2</v>
      </c>
      <c r="AO17" s="21"/>
      <c r="AP17" s="21">
        <v>77.761899999999997</v>
      </c>
      <c r="AQ17" s="21">
        <v>84.772400000000005</v>
      </c>
      <c r="AR17" s="21">
        <v>82.355099999999993</v>
      </c>
      <c r="AS17" s="21">
        <v>75.788499999999999</v>
      </c>
      <c r="AT17" s="21">
        <v>69.520799999999994</v>
      </c>
      <c r="AU17" s="21">
        <v>49.508299999999998</v>
      </c>
      <c r="AV17" s="21">
        <v>49.462600000000002</v>
      </c>
      <c r="AW17" s="21">
        <v>41.668700000000001</v>
      </c>
      <c r="AX17" s="21">
        <v>112.294</v>
      </c>
      <c r="AY17" s="21">
        <v>110.345</v>
      </c>
      <c r="AZ17" s="21">
        <v>116.104</v>
      </c>
      <c r="BA17" s="21">
        <v>72.254499999999993</v>
      </c>
      <c r="BB17" s="21"/>
      <c r="BC17" s="21">
        <v>76.115600000000001</v>
      </c>
      <c r="BD17" s="21">
        <v>77.335499999999996</v>
      </c>
      <c r="BE17" s="21">
        <v>77.356800000000007</v>
      </c>
      <c r="BF17" s="21">
        <v>65.161699999999996</v>
      </c>
      <c r="BG17" s="21">
        <v>61.343000000000004</v>
      </c>
      <c r="BH17" s="21">
        <v>39.732700000000001</v>
      </c>
      <c r="BI17" s="21">
        <v>37.822200000000002</v>
      </c>
      <c r="BJ17" s="21">
        <v>35.351599999999998</v>
      </c>
      <c r="BK17" s="21">
        <v>99.167199999999994</v>
      </c>
      <c r="BL17" s="21">
        <v>100.881</v>
      </c>
      <c r="BM17" s="21">
        <v>107.592</v>
      </c>
      <c r="BN17" s="21">
        <v>68.554199999999994</v>
      </c>
    </row>
    <row r="18" spans="11:66" x14ac:dyDescent="0.4">
      <c r="K18" s="21">
        <v>170</v>
      </c>
      <c r="L18" s="21">
        <f t="shared" si="1"/>
        <v>207400</v>
      </c>
      <c r="M18" s="66">
        <f t="shared" si="2"/>
        <v>0.46015774935380449</v>
      </c>
      <c r="N18" s="21"/>
      <c r="O18" s="21"/>
      <c r="P18" s="21"/>
      <c r="Q18" s="21"/>
      <c r="R18" s="21"/>
      <c r="S18" s="21"/>
      <c r="T18" s="21"/>
      <c r="U18" s="21"/>
      <c r="V18" s="21"/>
      <c r="W18" s="21"/>
      <c r="X18" s="21"/>
      <c r="Y18" s="21"/>
      <c r="Z18" s="21"/>
      <c r="AA18" s="21"/>
      <c r="AB18" s="21"/>
      <c r="AC18" s="66">
        <f t="shared" si="3"/>
        <v>-2.2435151404479461E-2</v>
      </c>
      <c r="AD18" s="66">
        <f t="shared" si="3"/>
        <v>-9.0313592631564146E-2</v>
      </c>
      <c r="AE18" s="66">
        <f t="shared" si="3"/>
        <v>-6.1197181473885517E-2</v>
      </c>
      <c r="AF18" s="66">
        <f t="shared" si="3"/>
        <v>-0.1459271525363347</v>
      </c>
      <c r="AG18" s="66">
        <f t="shared" si="3"/>
        <v>-0.12201528175740198</v>
      </c>
      <c r="AH18" s="66">
        <f t="shared" si="3"/>
        <v>-0.1974537602785795</v>
      </c>
      <c r="AI18" s="66">
        <f t="shared" si="3"/>
        <v>-0.24331110778648926</v>
      </c>
      <c r="AJ18" s="66">
        <f t="shared" si="3"/>
        <v>-0.15280294321637106</v>
      </c>
      <c r="AK18" s="66">
        <f t="shared" si="3"/>
        <v>-0.11689671754501579</v>
      </c>
      <c r="AL18" s="66">
        <f t="shared" si="3"/>
        <v>-8.5767365988490635E-2</v>
      </c>
      <c r="AM18" s="66">
        <f t="shared" si="3"/>
        <v>-7.3838971956177168E-2</v>
      </c>
      <c r="AN18" s="66">
        <f t="shared" si="3"/>
        <v>-5.1212035236559643E-2</v>
      </c>
      <c r="AO18" s="21"/>
      <c r="AP18" s="21">
        <v>77.761899999999997</v>
      </c>
      <c r="AQ18" s="21">
        <v>84.772400000000005</v>
      </c>
      <c r="AR18" s="21">
        <v>82.355099999999993</v>
      </c>
      <c r="AS18" s="21">
        <v>75.788499999999999</v>
      </c>
      <c r="AT18" s="21">
        <v>69.520799999999994</v>
      </c>
      <c r="AU18" s="21">
        <v>49.508299999999998</v>
      </c>
      <c r="AV18" s="21">
        <v>49.462600000000002</v>
      </c>
      <c r="AW18" s="21">
        <v>41.668700000000001</v>
      </c>
      <c r="AX18" s="21">
        <v>112.294</v>
      </c>
      <c r="AY18" s="21">
        <v>110.345</v>
      </c>
      <c r="AZ18" s="21">
        <v>116.104</v>
      </c>
      <c r="BA18" s="21">
        <v>72.254499999999993</v>
      </c>
      <c r="BB18" s="21"/>
      <c r="BC18" s="21">
        <v>76.017300000000006</v>
      </c>
      <c r="BD18" s="21">
        <v>77.116299999999995</v>
      </c>
      <c r="BE18" s="21">
        <v>77.315200000000004</v>
      </c>
      <c r="BF18" s="21">
        <v>64.728899999999996</v>
      </c>
      <c r="BG18" s="21">
        <v>61.038200000000003</v>
      </c>
      <c r="BH18" s="21">
        <v>39.732700000000001</v>
      </c>
      <c r="BI18" s="21">
        <v>37.427799999999998</v>
      </c>
      <c r="BJ18" s="21">
        <v>35.301600000000001</v>
      </c>
      <c r="BK18" s="21">
        <v>99.167199999999994</v>
      </c>
      <c r="BL18" s="21">
        <v>100.881</v>
      </c>
      <c r="BM18" s="21">
        <v>107.53100000000001</v>
      </c>
      <c r="BN18" s="21">
        <v>68.554199999999994</v>
      </c>
    </row>
    <row r="19" spans="11:66" x14ac:dyDescent="0.4">
      <c r="K19" s="21">
        <v>180</v>
      </c>
      <c r="L19" s="21">
        <f t="shared" si="1"/>
        <v>219600</v>
      </c>
      <c r="M19" s="66">
        <f t="shared" si="2"/>
        <v>0.48722585225696946</v>
      </c>
      <c r="N19" s="21"/>
      <c r="O19" s="21"/>
      <c r="P19" s="21"/>
      <c r="Q19" s="21"/>
      <c r="R19" s="21"/>
      <c r="S19" s="21"/>
      <c r="T19" s="21"/>
      <c r="U19" s="21"/>
      <c r="V19" s="21"/>
      <c r="W19" s="21"/>
      <c r="X19" s="21"/>
      <c r="Y19" s="21"/>
      <c r="Z19" s="21"/>
      <c r="AA19" s="21"/>
      <c r="AB19" s="21"/>
      <c r="AC19" s="66">
        <f t="shared" si="3"/>
        <v>-2.3699266607426005E-2</v>
      </c>
      <c r="AD19" s="66">
        <f t="shared" si="3"/>
        <v>-9.1631238469124479E-2</v>
      </c>
      <c r="AE19" s="66">
        <f t="shared" si="3"/>
        <v>-6.1702311089416338E-2</v>
      </c>
      <c r="AF19" s="66">
        <f t="shared" si="3"/>
        <v>-0.15083554892892725</v>
      </c>
      <c r="AG19" s="66">
        <f t="shared" si="3"/>
        <v>-0.12639814271412289</v>
      </c>
      <c r="AH19" s="66">
        <f t="shared" si="3"/>
        <v>-0.1974537602785795</v>
      </c>
      <c r="AI19" s="66">
        <f t="shared" si="3"/>
        <v>-0.24799545515197341</v>
      </c>
      <c r="AJ19" s="66">
        <f t="shared" si="3"/>
        <v>-0.15400528454211437</v>
      </c>
      <c r="AK19" s="66">
        <f t="shared" si="3"/>
        <v>-0.11689671754501579</v>
      </c>
      <c r="AL19" s="66">
        <f t="shared" si="3"/>
        <v>-8.5767365988490635E-2</v>
      </c>
      <c r="AM19" s="66">
        <f t="shared" si="3"/>
        <v>-7.4364362984910087E-2</v>
      </c>
      <c r="AN19" s="66">
        <f t="shared" si="3"/>
        <v>-5.1212035236559643E-2</v>
      </c>
      <c r="AO19" s="21"/>
      <c r="AP19" s="21">
        <v>77.761899999999997</v>
      </c>
      <c r="AQ19" s="21">
        <v>84.772400000000005</v>
      </c>
      <c r="AR19" s="21">
        <v>82.355099999999993</v>
      </c>
      <c r="AS19" s="21">
        <v>75.788499999999999</v>
      </c>
      <c r="AT19" s="21">
        <v>69.520799999999994</v>
      </c>
      <c r="AU19" s="21">
        <v>49.508299999999998</v>
      </c>
      <c r="AV19" s="21">
        <v>49.462600000000002</v>
      </c>
      <c r="AW19" s="21">
        <v>41.668700000000001</v>
      </c>
      <c r="AX19" s="21">
        <v>112.294</v>
      </c>
      <c r="AY19" s="21">
        <v>110.345</v>
      </c>
      <c r="AZ19" s="21">
        <v>116.104</v>
      </c>
      <c r="BA19" s="21">
        <v>72.254499999999993</v>
      </c>
      <c r="BB19" s="21"/>
      <c r="BC19" s="21">
        <v>75.918999999999997</v>
      </c>
      <c r="BD19" s="21">
        <v>77.004599999999996</v>
      </c>
      <c r="BE19" s="21">
        <v>77.273600000000002</v>
      </c>
      <c r="BF19" s="21">
        <v>64.356899999999996</v>
      </c>
      <c r="BG19" s="21">
        <v>60.733499999999999</v>
      </c>
      <c r="BH19" s="21">
        <v>39.732700000000001</v>
      </c>
      <c r="BI19" s="21">
        <v>37.196100000000001</v>
      </c>
      <c r="BJ19" s="21">
        <v>35.2515</v>
      </c>
      <c r="BK19" s="21">
        <v>99.167199999999994</v>
      </c>
      <c r="BL19" s="21">
        <v>100.881</v>
      </c>
      <c r="BM19" s="21">
        <v>107.47</v>
      </c>
      <c r="BN19" s="21">
        <v>68.554199999999994</v>
      </c>
    </row>
    <row r="20" spans="11:66" x14ac:dyDescent="0.4">
      <c r="K20" s="21">
        <v>190</v>
      </c>
      <c r="L20" s="21">
        <f t="shared" si="1"/>
        <v>231800</v>
      </c>
      <c r="M20" s="66">
        <f t="shared" si="2"/>
        <v>0.51429395516013443</v>
      </c>
      <c r="N20" s="21"/>
      <c r="O20" s="21"/>
      <c r="P20" s="21"/>
      <c r="Q20" s="21"/>
      <c r="R20" s="21"/>
      <c r="S20" s="21"/>
      <c r="T20" s="21"/>
      <c r="U20" s="21"/>
      <c r="V20" s="21"/>
      <c r="W20" s="21"/>
      <c r="X20" s="21"/>
      <c r="Y20" s="21"/>
      <c r="Z20" s="21"/>
      <c r="AA20" s="21"/>
      <c r="AB20" s="21"/>
      <c r="AC20" s="66">
        <f t="shared" si="3"/>
        <v>-2.4963381810372366E-2</v>
      </c>
      <c r="AD20" s="66">
        <f t="shared" si="3"/>
        <v>-9.1631238469124479E-2</v>
      </c>
      <c r="AE20" s="66">
        <f t="shared" si="3"/>
        <v>-6.2207440704947166E-2</v>
      </c>
      <c r="AF20" s="66">
        <f t="shared" si="3"/>
        <v>-0.15282133832969377</v>
      </c>
      <c r="AG20" s="66">
        <f t="shared" si="3"/>
        <v>-0.13078244208927395</v>
      </c>
      <c r="AH20" s="66">
        <f t="shared" si="3"/>
        <v>-0.1974537602785795</v>
      </c>
      <c r="AI20" s="66">
        <f t="shared" si="3"/>
        <v>-0.24799545515197341</v>
      </c>
      <c r="AJ20" s="66">
        <f t="shared" si="3"/>
        <v>-0.15520522598497188</v>
      </c>
      <c r="AK20" s="66">
        <f t="shared" si="3"/>
        <v>-0.11689671754501579</v>
      </c>
      <c r="AL20" s="66">
        <f t="shared" si="3"/>
        <v>-8.5767365988490635E-2</v>
      </c>
      <c r="AM20" s="66">
        <f t="shared" si="3"/>
        <v>-7.4889754013642881E-2</v>
      </c>
      <c r="AN20" s="66">
        <f t="shared" si="3"/>
        <v>-5.1212035236559643E-2</v>
      </c>
      <c r="AO20" s="21"/>
      <c r="AP20" s="21">
        <v>77.761899999999997</v>
      </c>
      <c r="AQ20" s="21">
        <v>84.772400000000005</v>
      </c>
      <c r="AR20" s="21">
        <v>82.355099999999993</v>
      </c>
      <c r="AS20" s="21">
        <v>75.788499999999999</v>
      </c>
      <c r="AT20" s="21">
        <v>69.520799999999994</v>
      </c>
      <c r="AU20" s="21">
        <v>49.508299999999998</v>
      </c>
      <c r="AV20" s="21">
        <v>49.462600000000002</v>
      </c>
      <c r="AW20" s="21">
        <v>41.668700000000001</v>
      </c>
      <c r="AX20" s="21">
        <v>112.294</v>
      </c>
      <c r="AY20" s="21">
        <v>110.345</v>
      </c>
      <c r="AZ20" s="21">
        <v>116.104</v>
      </c>
      <c r="BA20" s="21">
        <v>72.254499999999993</v>
      </c>
      <c r="BB20" s="21"/>
      <c r="BC20" s="21">
        <v>75.820700000000002</v>
      </c>
      <c r="BD20" s="21">
        <v>77.004599999999996</v>
      </c>
      <c r="BE20" s="21">
        <v>77.231999999999999</v>
      </c>
      <c r="BF20" s="21">
        <v>64.206400000000002</v>
      </c>
      <c r="BG20" s="21">
        <v>60.428699999999999</v>
      </c>
      <c r="BH20" s="21">
        <v>39.732700000000001</v>
      </c>
      <c r="BI20" s="21">
        <v>37.196100000000001</v>
      </c>
      <c r="BJ20" s="21">
        <v>35.201500000000003</v>
      </c>
      <c r="BK20" s="21">
        <v>99.167199999999994</v>
      </c>
      <c r="BL20" s="21">
        <v>100.881</v>
      </c>
      <c r="BM20" s="21">
        <v>107.40900000000001</v>
      </c>
      <c r="BN20" s="21">
        <v>68.554199999999994</v>
      </c>
    </row>
    <row r="21" spans="11:66" x14ac:dyDescent="0.4">
      <c r="K21" s="21">
        <v>200</v>
      </c>
      <c r="L21" s="21">
        <f t="shared" si="1"/>
        <v>244000</v>
      </c>
      <c r="M21" s="66">
        <f t="shared" si="2"/>
        <v>0.5413620580632994</v>
      </c>
      <c r="N21" s="21"/>
      <c r="O21" s="21"/>
      <c r="P21" s="21"/>
      <c r="Q21" s="21"/>
      <c r="R21" s="21"/>
      <c r="S21" s="21"/>
      <c r="T21" s="21"/>
      <c r="U21" s="21"/>
      <c r="V21" s="21"/>
      <c r="W21" s="21"/>
      <c r="X21" s="21"/>
      <c r="Y21" s="21"/>
      <c r="Z21" s="21"/>
      <c r="AA21" s="21"/>
      <c r="AB21" s="21"/>
      <c r="AC21" s="66">
        <f t="shared" si="3"/>
        <v>-2.6227497013318911E-2</v>
      </c>
      <c r="AD21" s="66">
        <f t="shared" si="3"/>
        <v>-9.1631238469124479E-2</v>
      </c>
      <c r="AE21" s="66">
        <f t="shared" si="3"/>
        <v>-6.2711356066594462E-2</v>
      </c>
      <c r="AF21" s="66">
        <f t="shared" si="3"/>
        <v>-0.15480712773046049</v>
      </c>
      <c r="AG21" s="66">
        <f t="shared" si="3"/>
        <v>-0.13516674146442498</v>
      </c>
      <c r="AH21" s="66">
        <f t="shared" si="3"/>
        <v>-0.1974537602785795</v>
      </c>
      <c r="AI21" s="66">
        <f t="shared" si="3"/>
        <v>-0.24799545515197341</v>
      </c>
      <c r="AJ21" s="66">
        <f t="shared" si="3"/>
        <v>-0.15640516742782959</v>
      </c>
      <c r="AK21" s="66">
        <f t="shared" si="3"/>
        <v>-0.11689671754501579</v>
      </c>
      <c r="AL21" s="66">
        <f t="shared" si="3"/>
        <v>-8.5767365988490635E-2</v>
      </c>
      <c r="AM21" s="66">
        <f t="shared" si="3"/>
        <v>-7.54151450423758E-2</v>
      </c>
      <c r="AN21" s="66">
        <f t="shared" si="3"/>
        <v>-5.1212035236559643E-2</v>
      </c>
      <c r="AO21" s="21"/>
      <c r="AP21" s="21">
        <v>77.761899999999997</v>
      </c>
      <c r="AQ21" s="21">
        <v>84.772400000000005</v>
      </c>
      <c r="AR21" s="21">
        <v>82.355099999999993</v>
      </c>
      <c r="AS21" s="21">
        <v>75.788499999999999</v>
      </c>
      <c r="AT21" s="21">
        <v>69.520799999999994</v>
      </c>
      <c r="AU21" s="21">
        <v>49.508299999999998</v>
      </c>
      <c r="AV21" s="21">
        <v>49.462600000000002</v>
      </c>
      <c r="AW21" s="21">
        <v>41.668700000000001</v>
      </c>
      <c r="AX21" s="21">
        <v>112.294</v>
      </c>
      <c r="AY21" s="21">
        <v>110.345</v>
      </c>
      <c r="AZ21" s="21">
        <v>116.104</v>
      </c>
      <c r="BA21" s="21">
        <v>72.254499999999993</v>
      </c>
      <c r="BB21" s="21"/>
      <c r="BC21" s="21">
        <v>75.722399999999993</v>
      </c>
      <c r="BD21" s="21">
        <v>77.004599999999996</v>
      </c>
      <c r="BE21" s="21">
        <v>77.1905</v>
      </c>
      <c r="BF21" s="21">
        <v>64.055899999999994</v>
      </c>
      <c r="BG21" s="21">
        <v>60.123899999999999</v>
      </c>
      <c r="BH21" s="21">
        <v>39.732700000000001</v>
      </c>
      <c r="BI21" s="21">
        <v>37.196100000000001</v>
      </c>
      <c r="BJ21" s="21">
        <v>35.151499999999999</v>
      </c>
      <c r="BK21" s="21">
        <v>99.167199999999994</v>
      </c>
      <c r="BL21" s="21">
        <v>100.881</v>
      </c>
      <c r="BM21" s="21">
        <v>107.348</v>
      </c>
      <c r="BN21" s="21">
        <v>68.554199999999994</v>
      </c>
    </row>
    <row r="22" spans="11:66" x14ac:dyDescent="0.4">
      <c r="K22" s="21">
        <v>210</v>
      </c>
      <c r="L22" s="21">
        <f t="shared" si="1"/>
        <v>256200</v>
      </c>
      <c r="M22" s="66">
        <f t="shared" si="2"/>
        <v>0.56843016096646437</v>
      </c>
      <c r="N22" s="21"/>
      <c r="O22" s="21"/>
      <c r="P22" s="21"/>
      <c r="Q22" s="21"/>
      <c r="R22" s="21"/>
      <c r="S22" s="21"/>
      <c r="T22" s="21"/>
      <c r="U22" s="21"/>
      <c r="V22" s="21"/>
      <c r="W22" s="21"/>
      <c r="X22" s="21"/>
      <c r="Y22" s="21"/>
      <c r="Z22" s="21"/>
      <c r="AA22" s="21"/>
      <c r="AB22" s="21"/>
      <c r="AC22" s="66">
        <f t="shared" si="3"/>
        <v>-2.7491612216265275E-2</v>
      </c>
      <c r="AD22" s="66">
        <f t="shared" si="3"/>
        <v>-9.1631238469124479E-2</v>
      </c>
      <c r="AE22" s="66">
        <f t="shared" si="3"/>
        <v>-6.321648568212529E-2</v>
      </c>
      <c r="AF22" s="66">
        <f t="shared" si="3"/>
        <v>-0.15679423659262293</v>
      </c>
      <c r="AG22" s="66">
        <f t="shared" si="3"/>
        <v>-0.13954960242114581</v>
      </c>
      <c r="AH22" s="66">
        <f t="shared" si="3"/>
        <v>-0.1974537602785795</v>
      </c>
      <c r="AI22" s="66">
        <f t="shared" si="3"/>
        <v>-0.24799545515197341</v>
      </c>
      <c r="AJ22" s="66">
        <f t="shared" si="3"/>
        <v>-0.15760750875357291</v>
      </c>
      <c r="AK22" s="66">
        <f t="shared" si="3"/>
        <v>-0.11689671754501579</v>
      </c>
      <c r="AL22" s="66">
        <f t="shared" si="3"/>
        <v>-8.5767365988490635E-2</v>
      </c>
      <c r="AM22" s="66">
        <f t="shared" si="3"/>
        <v>-7.5940536071108608E-2</v>
      </c>
      <c r="AN22" s="66">
        <f t="shared" si="3"/>
        <v>-5.1212035236559643E-2</v>
      </c>
      <c r="AO22" s="21"/>
      <c r="AP22" s="21">
        <v>77.761899999999997</v>
      </c>
      <c r="AQ22" s="21">
        <v>84.772400000000005</v>
      </c>
      <c r="AR22" s="21">
        <v>82.355099999999993</v>
      </c>
      <c r="AS22" s="21">
        <v>75.788499999999999</v>
      </c>
      <c r="AT22" s="21">
        <v>69.520799999999994</v>
      </c>
      <c r="AU22" s="21">
        <v>49.508299999999998</v>
      </c>
      <c r="AV22" s="21">
        <v>49.462600000000002</v>
      </c>
      <c r="AW22" s="21">
        <v>41.668700000000001</v>
      </c>
      <c r="AX22" s="21">
        <v>112.294</v>
      </c>
      <c r="AY22" s="21">
        <v>110.345</v>
      </c>
      <c r="AZ22" s="21">
        <v>116.104</v>
      </c>
      <c r="BA22" s="21">
        <v>72.254499999999993</v>
      </c>
      <c r="BB22" s="21"/>
      <c r="BC22" s="21">
        <v>75.624099999999999</v>
      </c>
      <c r="BD22" s="21">
        <v>77.004599999999996</v>
      </c>
      <c r="BE22" s="21">
        <v>77.148899999999998</v>
      </c>
      <c r="BF22" s="21">
        <v>63.905299999999997</v>
      </c>
      <c r="BG22" s="21">
        <v>59.819200000000002</v>
      </c>
      <c r="BH22" s="21">
        <v>39.732700000000001</v>
      </c>
      <c r="BI22" s="21">
        <v>37.196100000000001</v>
      </c>
      <c r="BJ22" s="21">
        <v>35.101399999999998</v>
      </c>
      <c r="BK22" s="21">
        <v>99.167199999999994</v>
      </c>
      <c r="BL22" s="21">
        <v>100.881</v>
      </c>
      <c r="BM22" s="21">
        <v>107.28700000000001</v>
      </c>
      <c r="BN22" s="21">
        <v>68.554199999999994</v>
      </c>
    </row>
    <row r="23" spans="11:66" x14ac:dyDescent="0.4">
      <c r="K23" s="21">
        <v>220</v>
      </c>
      <c r="L23" s="21">
        <f t="shared" si="1"/>
        <v>268400</v>
      </c>
      <c r="M23" s="66">
        <f t="shared" si="2"/>
        <v>0.59549826386962934</v>
      </c>
      <c r="N23" s="21"/>
      <c r="O23" s="21"/>
      <c r="P23" s="21"/>
      <c r="Q23" s="21"/>
      <c r="R23" s="21"/>
      <c r="S23" s="21"/>
      <c r="T23" s="21"/>
      <c r="U23" s="21"/>
      <c r="V23" s="21"/>
      <c r="W23" s="21"/>
      <c r="X23" s="21"/>
      <c r="Y23" s="21"/>
      <c r="Z23" s="21"/>
      <c r="AA23" s="21"/>
      <c r="AB23" s="21"/>
      <c r="AC23" s="66">
        <f t="shared" si="3"/>
        <v>-2.8755727419211636E-2</v>
      </c>
      <c r="AD23" s="66">
        <f t="shared" si="3"/>
        <v>-9.1631238469124479E-2</v>
      </c>
      <c r="AE23" s="66">
        <f t="shared" si="3"/>
        <v>-6.3721615297656103E-2</v>
      </c>
      <c r="AF23" s="66">
        <f t="shared" si="3"/>
        <v>-0.15878002599338945</v>
      </c>
      <c r="AG23" s="66">
        <f t="shared" si="3"/>
        <v>-0.14393390179629684</v>
      </c>
      <c r="AH23" s="66">
        <f t="shared" si="3"/>
        <v>-0.1974537602785795</v>
      </c>
      <c r="AI23" s="66">
        <f t="shared" si="3"/>
        <v>-0.24799545515197341</v>
      </c>
      <c r="AJ23" s="66">
        <f t="shared" si="3"/>
        <v>-0.15880745019643042</v>
      </c>
      <c r="AK23" s="66">
        <f t="shared" si="3"/>
        <v>-0.11689671754501579</v>
      </c>
      <c r="AL23" s="66">
        <f t="shared" si="3"/>
        <v>-8.5767365988490635E-2</v>
      </c>
      <c r="AM23" s="66">
        <f t="shared" si="3"/>
        <v>-7.6465927099841527E-2</v>
      </c>
      <c r="AN23" s="66">
        <f t="shared" si="3"/>
        <v>-5.1212035236559643E-2</v>
      </c>
      <c r="AO23" s="21"/>
      <c r="AP23" s="21">
        <v>77.761899999999997</v>
      </c>
      <c r="AQ23" s="21">
        <v>84.772400000000005</v>
      </c>
      <c r="AR23" s="21">
        <v>82.355099999999993</v>
      </c>
      <c r="AS23" s="21">
        <v>75.788499999999999</v>
      </c>
      <c r="AT23" s="21">
        <v>69.520799999999994</v>
      </c>
      <c r="AU23" s="21">
        <v>49.508299999999998</v>
      </c>
      <c r="AV23" s="21">
        <v>49.462600000000002</v>
      </c>
      <c r="AW23" s="21">
        <v>41.668700000000001</v>
      </c>
      <c r="AX23" s="21">
        <v>112.294</v>
      </c>
      <c r="AY23" s="21">
        <v>110.345</v>
      </c>
      <c r="AZ23" s="21">
        <v>116.104</v>
      </c>
      <c r="BA23" s="21">
        <v>72.254499999999993</v>
      </c>
      <c r="BB23" s="21"/>
      <c r="BC23" s="21">
        <v>75.525800000000004</v>
      </c>
      <c r="BD23" s="21">
        <v>77.004599999999996</v>
      </c>
      <c r="BE23" s="21">
        <v>77.107299999999995</v>
      </c>
      <c r="BF23" s="21">
        <v>63.754800000000003</v>
      </c>
      <c r="BG23" s="21">
        <v>59.514400000000002</v>
      </c>
      <c r="BH23" s="21">
        <v>39.732700000000001</v>
      </c>
      <c r="BI23" s="21">
        <v>37.196100000000001</v>
      </c>
      <c r="BJ23" s="21">
        <v>35.051400000000001</v>
      </c>
      <c r="BK23" s="21">
        <v>99.167199999999994</v>
      </c>
      <c r="BL23" s="21">
        <v>100.881</v>
      </c>
      <c r="BM23" s="21">
        <v>107.226</v>
      </c>
      <c r="BN23" s="21">
        <v>68.554199999999994</v>
      </c>
    </row>
    <row r="24" spans="11:66" x14ac:dyDescent="0.4">
      <c r="K24" s="21">
        <v>230</v>
      </c>
      <c r="L24" s="21">
        <f t="shared" si="1"/>
        <v>280600</v>
      </c>
      <c r="M24" s="66">
        <f t="shared" si="2"/>
        <v>0.62256636677279431</v>
      </c>
      <c r="N24" s="21"/>
      <c r="O24" s="21"/>
      <c r="P24" s="21"/>
      <c r="Q24" s="21"/>
      <c r="R24" s="21"/>
      <c r="S24" s="21"/>
      <c r="T24" s="21"/>
      <c r="U24" s="21"/>
      <c r="V24" s="21"/>
      <c r="W24" s="21"/>
      <c r="X24" s="21"/>
      <c r="Y24" s="21"/>
      <c r="Z24" s="21"/>
      <c r="AA24" s="21"/>
      <c r="AB24" s="21"/>
      <c r="AC24" s="66">
        <f t="shared" si="3"/>
        <v>-3.0019842622158181E-2</v>
      </c>
      <c r="AD24" s="66">
        <f t="shared" si="3"/>
        <v>-9.1631238469124479E-2</v>
      </c>
      <c r="AE24" s="66">
        <f t="shared" si="3"/>
        <v>-6.4226744913186765E-2</v>
      </c>
      <c r="AF24" s="66">
        <f t="shared" si="3"/>
        <v>-0.16076713485555197</v>
      </c>
      <c r="AG24" s="66">
        <f t="shared" si="3"/>
        <v>-0.14831820117144787</v>
      </c>
      <c r="AH24" s="66">
        <f t="shared" si="3"/>
        <v>-0.1974537602785795</v>
      </c>
      <c r="AI24" s="66">
        <f t="shared" si="3"/>
        <v>-0.24799545515197341</v>
      </c>
      <c r="AJ24" s="66">
        <f t="shared" si="3"/>
        <v>-0.16000979152217373</v>
      </c>
      <c r="AK24" s="66">
        <f t="shared" si="3"/>
        <v>-0.11689671754501579</v>
      </c>
      <c r="AL24" s="66">
        <f t="shared" si="3"/>
        <v>-8.5767365988490635E-2</v>
      </c>
      <c r="AM24" s="66">
        <f t="shared" si="3"/>
        <v>-7.6991318128574321E-2</v>
      </c>
      <c r="AN24" s="66">
        <f t="shared" si="3"/>
        <v>-5.1212035236559643E-2</v>
      </c>
      <c r="AO24" s="21"/>
      <c r="AP24" s="21">
        <v>77.761899999999997</v>
      </c>
      <c r="AQ24" s="21">
        <v>84.772400000000005</v>
      </c>
      <c r="AR24" s="21">
        <v>82.355099999999993</v>
      </c>
      <c r="AS24" s="21">
        <v>75.788499999999999</v>
      </c>
      <c r="AT24" s="21">
        <v>69.520799999999994</v>
      </c>
      <c r="AU24" s="21">
        <v>49.508299999999998</v>
      </c>
      <c r="AV24" s="21">
        <v>49.462600000000002</v>
      </c>
      <c r="AW24" s="21">
        <v>41.668700000000001</v>
      </c>
      <c r="AX24" s="21">
        <v>112.294</v>
      </c>
      <c r="AY24" s="21">
        <v>110.345</v>
      </c>
      <c r="AZ24" s="21">
        <v>116.104</v>
      </c>
      <c r="BA24" s="21">
        <v>72.254499999999993</v>
      </c>
      <c r="BB24" s="21"/>
      <c r="BC24" s="21">
        <v>75.427499999999995</v>
      </c>
      <c r="BD24" s="21">
        <v>77.004599999999996</v>
      </c>
      <c r="BE24" s="21">
        <v>77.065700000000007</v>
      </c>
      <c r="BF24" s="21">
        <v>63.604199999999999</v>
      </c>
      <c r="BG24" s="21">
        <v>59.209600000000002</v>
      </c>
      <c r="BH24" s="21">
        <v>39.732700000000001</v>
      </c>
      <c r="BI24" s="21">
        <v>37.196100000000001</v>
      </c>
      <c r="BJ24" s="21">
        <v>35.001300000000001</v>
      </c>
      <c r="BK24" s="21">
        <v>99.167199999999994</v>
      </c>
      <c r="BL24" s="21">
        <v>100.881</v>
      </c>
      <c r="BM24" s="21">
        <v>107.16500000000001</v>
      </c>
      <c r="BN24" s="21">
        <v>68.554199999999994</v>
      </c>
    </row>
    <row r="25" spans="11:66" x14ac:dyDescent="0.4">
      <c r="K25" s="21">
        <v>240</v>
      </c>
      <c r="L25" s="21">
        <f t="shared" si="1"/>
        <v>292800</v>
      </c>
      <c r="M25" s="66">
        <f t="shared" si="2"/>
        <v>0.64963446967595928</v>
      </c>
      <c r="N25" s="21"/>
      <c r="O25" s="21"/>
      <c r="P25" s="21"/>
      <c r="Q25" s="21"/>
      <c r="R25" s="21"/>
      <c r="S25" s="21"/>
      <c r="T25" s="21"/>
      <c r="U25" s="21"/>
      <c r="V25" s="21"/>
      <c r="W25" s="21"/>
      <c r="X25" s="21"/>
      <c r="Y25" s="21"/>
      <c r="Z25" s="21"/>
      <c r="AA25" s="21"/>
      <c r="AB25" s="21"/>
      <c r="AC25" s="66">
        <f t="shared" si="3"/>
        <v>-3.1283957825104541E-2</v>
      </c>
      <c r="AD25" s="66">
        <f t="shared" si="3"/>
        <v>-9.1631238469124479E-2</v>
      </c>
      <c r="AE25" s="66">
        <f t="shared" si="3"/>
        <v>-6.4731874528717578E-2</v>
      </c>
      <c r="AF25" s="66">
        <f t="shared" si="3"/>
        <v>-0.1627529242563186</v>
      </c>
      <c r="AG25" s="66">
        <f t="shared" si="3"/>
        <v>-0.15270106212816881</v>
      </c>
      <c r="AH25" s="66">
        <f t="shared" si="3"/>
        <v>-0.1974537602785795</v>
      </c>
      <c r="AI25" s="66">
        <f t="shared" si="3"/>
        <v>-0.24799545515197341</v>
      </c>
      <c r="AJ25" s="66">
        <f t="shared" si="3"/>
        <v>-0.16120973296503124</v>
      </c>
      <c r="AK25" s="66">
        <f t="shared" si="3"/>
        <v>-0.11689671754501579</v>
      </c>
      <c r="AL25" s="66">
        <f t="shared" si="3"/>
        <v>-8.5767365988490635E-2</v>
      </c>
      <c r="AM25" s="66">
        <f t="shared" si="3"/>
        <v>-7.751670915730724E-2</v>
      </c>
      <c r="AN25" s="66">
        <f t="shared" si="3"/>
        <v>-5.1212035236559643E-2</v>
      </c>
      <c r="AO25" s="21"/>
      <c r="AP25" s="21">
        <v>77.761899999999997</v>
      </c>
      <c r="AQ25" s="21">
        <v>84.772400000000005</v>
      </c>
      <c r="AR25" s="21">
        <v>82.355099999999993</v>
      </c>
      <c r="AS25" s="21">
        <v>75.788499999999999</v>
      </c>
      <c r="AT25" s="21">
        <v>69.520799999999994</v>
      </c>
      <c r="AU25" s="21">
        <v>49.508299999999998</v>
      </c>
      <c r="AV25" s="21">
        <v>49.462600000000002</v>
      </c>
      <c r="AW25" s="21">
        <v>41.668700000000001</v>
      </c>
      <c r="AX25" s="21">
        <v>112.294</v>
      </c>
      <c r="AY25" s="21">
        <v>110.345</v>
      </c>
      <c r="AZ25" s="21">
        <v>116.104</v>
      </c>
      <c r="BA25" s="21">
        <v>72.254499999999993</v>
      </c>
      <c r="BB25" s="21"/>
      <c r="BC25" s="21">
        <v>75.3292</v>
      </c>
      <c r="BD25" s="21">
        <v>77.004599999999996</v>
      </c>
      <c r="BE25" s="21">
        <v>77.024100000000004</v>
      </c>
      <c r="BF25" s="21">
        <v>63.453699999999998</v>
      </c>
      <c r="BG25" s="21">
        <v>58.904899999999998</v>
      </c>
      <c r="BH25" s="21">
        <v>39.732700000000001</v>
      </c>
      <c r="BI25" s="21">
        <v>37.196100000000001</v>
      </c>
      <c r="BJ25" s="21">
        <v>34.951300000000003</v>
      </c>
      <c r="BK25" s="21">
        <v>99.167199999999994</v>
      </c>
      <c r="BL25" s="21">
        <v>100.881</v>
      </c>
      <c r="BM25" s="21">
        <v>107.104</v>
      </c>
      <c r="BN25" s="21">
        <v>68.554199999999994</v>
      </c>
    </row>
    <row r="26" spans="11:66" x14ac:dyDescent="0.4">
      <c r="K26" s="21">
        <v>250</v>
      </c>
      <c r="L26" s="21">
        <f t="shared" si="1"/>
        <v>305000</v>
      </c>
      <c r="M26" s="66">
        <f t="shared" si="2"/>
        <v>0.67670257257912425</v>
      </c>
      <c r="N26" s="21"/>
      <c r="O26" s="21"/>
      <c r="P26" s="21"/>
      <c r="Q26" s="21"/>
      <c r="R26" s="21"/>
      <c r="S26" s="21"/>
      <c r="T26" s="21"/>
      <c r="U26" s="21"/>
      <c r="V26" s="21"/>
      <c r="W26" s="21"/>
      <c r="X26" s="21"/>
      <c r="Y26" s="21"/>
      <c r="Z26" s="21"/>
      <c r="AA26" s="21"/>
      <c r="AB26" s="21"/>
      <c r="AC26" s="66">
        <f t="shared" si="3"/>
        <v>-3.2548073028050906E-2</v>
      </c>
      <c r="AD26" s="66">
        <f t="shared" si="3"/>
        <v>-9.1631238469124479E-2</v>
      </c>
      <c r="AE26" s="66">
        <f t="shared" si="3"/>
        <v>-6.5235789890364881E-2</v>
      </c>
      <c r="AF26" s="66">
        <f t="shared" si="3"/>
        <v>-0.16474003311848101</v>
      </c>
      <c r="AG26" s="66">
        <f t="shared" si="3"/>
        <v>-0.15708536150331984</v>
      </c>
      <c r="AH26" s="66">
        <f t="shared" si="3"/>
        <v>-0.1974537602785795</v>
      </c>
      <c r="AI26" s="66">
        <f t="shared" si="3"/>
        <v>-0.24799545515197341</v>
      </c>
      <c r="AJ26" s="66">
        <f t="shared" si="3"/>
        <v>-0.16241207429077456</v>
      </c>
      <c r="AK26" s="66">
        <f t="shared" si="3"/>
        <v>-0.11689671754501579</v>
      </c>
      <c r="AL26" s="66">
        <f t="shared" si="3"/>
        <v>-8.5767365988490635E-2</v>
      </c>
      <c r="AM26" s="66">
        <f t="shared" si="3"/>
        <v>-7.8042100186040048E-2</v>
      </c>
      <c r="AN26" s="66">
        <f t="shared" si="3"/>
        <v>-5.1212035236559643E-2</v>
      </c>
      <c r="AO26" s="21"/>
      <c r="AP26" s="21">
        <v>77.761899999999997</v>
      </c>
      <c r="AQ26" s="21">
        <v>84.772400000000005</v>
      </c>
      <c r="AR26" s="21">
        <v>82.355099999999993</v>
      </c>
      <c r="AS26" s="21">
        <v>75.788499999999999</v>
      </c>
      <c r="AT26" s="21">
        <v>69.520799999999994</v>
      </c>
      <c r="AU26" s="21">
        <v>49.508299999999998</v>
      </c>
      <c r="AV26" s="21">
        <v>49.462600000000002</v>
      </c>
      <c r="AW26" s="21">
        <v>41.668700000000001</v>
      </c>
      <c r="AX26" s="21">
        <v>112.294</v>
      </c>
      <c r="AY26" s="21">
        <v>110.345</v>
      </c>
      <c r="AZ26" s="21">
        <v>116.104</v>
      </c>
      <c r="BA26" s="21">
        <v>72.254499999999993</v>
      </c>
      <c r="BB26" s="21"/>
      <c r="BC26" s="21">
        <v>75.230900000000005</v>
      </c>
      <c r="BD26" s="21">
        <v>77.004599999999996</v>
      </c>
      <c r="BE26" s="21">
        <v>76.982600000000005</v>
      </c>
      <c r="BF26" s="21">
        <v>63.303100000000001</v>
      </c>
      <c r="BG26" s="21">
        <v>58.600099999999998</v>
      </c>
      <c r="BH26" s="21">
        <v>39.732700000000001</v>
      </c>
      <c r="BI26" s="21">
        <v>37.196100000000001</v>
      </c>
      <c r="BJ26" s="21">
        <v>34.901200000000003</v>
      </c>
      <c r="BK26" s="21">
        <v>99.167199999999994</v>
      </c>
      <c r="BL26" s="21">
        <v>100.881</v>
      </c>
      <c r="BM26" s="21">
        <v>107.04300000000001</v>
      </c>
      <c r="BN26" s="21">
        <v>68.554199999999994</v>
      </c>
    </row>
    <row r="27" spans="11:66" x14ac:dyDescent="0.4">
      <c r="K27" s="21">
        <v>260</v>
      </c>
      <c r="L27" s="21">
        <f t="shared" si="1"/>
        <v>317200</v>
      </c>
      <c r="M27" s="66">
        <f t="shared" si="2"/>
        <v>0.70377067548228922</v>
      </c>
      <c r="N27" s="21"/>
      <c r="O27" s="21"/>
      <c r="P27" s="21"/>
      <c r="Q27" s="21"/>
      <c r="R27" s="21"/>
      <c r="S27" s="21"/>
      <c r="T27" s="21"/>
      <c r="U27" s="21"/>
      <c r="V27" s="21"/>
      <c r="W27" s="21"/>
      <c r="X27" s="21"/>
      <c r="Y27" s="21"/>
      <c r="Z27" s="21"/>
      <c r="AA27" s="21"/>
      <c r="AB27" s="21"/>
      <c r="AC27" s="66">
        <f t="shared" si="3"/>
        <v>-3.381218823099745E-2</v>
      </c>
      <c r="AD27" s="66">
        <f t="shared" si="3"/>
        <v>-9.1631238469124479E-2</v>
      </c>
      <c r="AE27" s="66">
        <f t="shared" si="3"/>
        <v>-6.5740919505895695E-2</v>
      </c>
      <c r="AF27" s="66">
        <f t="shared" si="3"/>
        <v>-0.16490892417715086</v>
      </c>
      <c r="AG27" s="66">
        <f t="shared" si="3"/>
        <v>-0.16146966087847087</v>
      </c>
      <c r="AH27" s="66">
        <f t="shared" si="3"/>
        <v>-0.1974537602785795</v>
      </c>
      <c r="AI27" s="66">
        <f t="shared" si="3"/>
        <v>-0.24799545515197341</v>
      </c>
      <c r="AJ27" s="66">
        <f t="shared" si="3"/>
        <v>-0.16361201573363227</v>
      </c>
      <c r="AK27" s="66">
        <f t="shared" si="3"/>
        <v>-0.11689671754501579</v>
      </c>
      <c r="AL27" s="66">
        <f t="shared" si="3"/>
        <v>-8.5767365988490635E-2</v>
      </c>
      <c r="AM27" s="66">
        <f t="shared" si="3"/>
        <v>-7.8567491214772966E-2</v>
      </c>
      <c r="AN27" s="66">
        <f t="shared" si="3"/>
        <v>-5.1212035236559643E-2</v>
      </c>
      <c r="AO27" s="21"/>
      <c r="AP27" s="21">
        <v>77.761899999999997</v>
      </c>
      <c r="AQ27" s="21">
        <v>84.772400000000005</v>
      </c>
      <c r="AR27" s="21">
        <v>82.355099999999993</v>
      </c>
      <c r="AS27" s="21">
        <v>75.788499999999999</v>
      </c>
      <c r="AT27" s="21">
        <v>69.520799999999994</v>
      </c>
      <c r="AU27" s="21">
        <v>49.508299999999998</v>
      </c>
      <c r="AV27" s="21">
        <v>49.462600000000002</v>
      </c>
      <c r="AW27" s="21">
        <v>41.668700000000001</v>
      </c>
      <c r="AX27" s="21">
        <v>112.294</v>
      </c>
      <c r="AY27" s="21">
        <v>110.345</v>
      </c>
      <c r="AZ27" s="21">
        <v>116.104</v>
      </c>
      <c r="BA27" s="21">
        <v>72.254499999999993</v>
      </c>
      <c r="BB27" s="21"/>
      <c r="BC27" s="21">
        <v>75.132599999999996</v>
      </c>
      <c r="BD27" s="21">
        <v>77.004599999999996</v>
      </c>
      <c r="BE27" s="21">
        <v>76.941000000000003</v>
      </c>
      <c r="BF27" s="21">
        <v>63.290300000000002</v>
      </c>
      <c r="BG27" s="21">
        <v>58.295299999999997</v>
      </c>
      <c r="BH27" s="21">
        <v>39.732700000000001</v>
      </c>
      <c r="BI27" s="21">
        <v>37.196100000000001</v>
      </c>
      <c r="BJ27" s="21">
        <v>34.851199999999999</v>
      </c>
      <c r="BK27" s="21">
        <v>99.167199999999994</v>
      </c>
      <c r="BL27" s="21">
        <v>100.881</v>
      </c>
      <c r="BM27" s="21">
        <v>106.982</v>
      </c>
      <c r="BN27" s="21">
        <v>68.554199999999994</v>
      </c>
    </row>
    <row r="28" spans="11:66" x14ac:dyDescent="0.4">
      <c r="K28" s="21">
        <v>270</v>
      </c>
      <c r="L28" s="21">
        <f t="shared" si="1"/>
        <v>329400</v>
      </c>
      <c r="M28" s="66">
        <f t="shared" si="2"/>
        <v>0.73083877838545419</v>
      </c>
      <c r="N28" s="21"/>
      <c r="O28" s="21"/>
      <c r="P28" s="21"/>
      <c r="Q28" s="21"/>
      <c r="R28" s="21"/>
      <c r="S28" s="21"/>
      <c r="T28" s="21"/>
      <c r="U28" s="21"/>
      <c r="V28" s="21"/>
      <c r="W28" s="21"/>
      <c r="X28" s="21"/>
      <c r="Y28" s="21"/>
      <c r="Z28" s="21"/>
      <c r="AA28" s="21"/>
      <c r="AB28" s="21"/>
      <c r="AC28" s="66">
        <f t="shared" si="3"/>
        <v>-3.5076303433943815E-2</v>
      </c>
      <c r="AD28" s="66">
        <f t="shared" si="3"/>
        <v>-9.1631238469124479E-2</v>
      </c>
      <c r="AE28" s="66">
        <f t="shared" si="3"/>
        <v>-6.6246049121426523E-2</v>
      </c>
      <c r="AF28" s="66">
        <f t="shared" si="3"/>
        <v>-0.16490892417715086</v>
      </c>
      <c r="AG28" s="66">
        <f t="shared" si="3"/>
        <v>-0.1658525218351917</v>
      </c>
      <c r="AH28" s="66">
        <f t="shared" si="3"/>
        <v>-0.1974537602785795</v>
      </c>
      <c r="AI28" s="66">
        <f t="shared" si="3"/>
        <v>-0.24799545515197341</v>
      </c>
      <c r="AJ28" s="66">
        <f t="shared" si="3"/>
        <v>-0.16481195717648978</v>
      </c>
      <c r="AK28" s="66">
        <f t="shared" si="3"/>
        <v>-0.11689671754501579</v>
      </c>
      <c r="AL28" s="66">
        <f t="shared" si="3"/>
        <v>-8.5767365988490635E-2</v>
      </c>
      <c r="AM28" s="66">
        <f t="shared" si="3"/>
        <v>-7.909288224350576E-2</v>
      </c>
      <c r="AN28" s="66">
        <f t="shared" si="3"/>
        <v>-5.1212035236559643E-2</v>
      </c>
      <c r="AO28" s="21"/>
      <c r="AP28" s="21">
        <v>77.761899999999997</v>
      </c>
      <c r="AQ28" s="21">
        <v>84.772400000000005</v>
      </c>
      <c r="AR28" s="21">
        <v>82.355099999999993</v>
      </c>
      <c r="AS28" s="21">
        <v>75.788499999999999</v>
      </c>
      <c r="AT28" s="21">
        <v>69.520799999999994</v>
      </c>
      <c r="AU28" s="21">
        <v>49.508299999999998</v>
      </c>
      <c r="AV28" s="21">
        <v>49.462600000000002</v>
      </c>
      <c r="AW28" s="21">
        <v>41.668700000000001</v>
      </c>
      <c r="AX28" s="21">
        <v>112.294</v>
      </c>
      <c r="AY28" s="21">
        <v>110.345</v>
      </c>
      <c r="AZ28" s="21">
        <v>116.104</v>
      </c>
      <c r="BA28" s="21">
        <v>72.254499999999993</v>
      </c>
      <c r="BB28" s="21"/>
      <c r="BC28" s="21">
        <v>75.034300000000002</v>
      </c>
      <c r="BD28" s="21">
        <v>77.004599999999996</v>
      </c>
      <c r="BE28" s="21">
        <v>76.8994</v>
      </c>
      <c r="BF28" s="21">
        <v>63.290300000000002</v>
      </c>
      <c r="BG28" s="21">
        <v>57.990600000000001</v>
      </c>
      <c r="BH28" s="21">
        <v>39.732700000000001</v>
      </c>
      <c r="BI28" s="21">
        <v>37.196100000000001</v>
      </c>
      <c r="BJ28" s="21">
        <v>34.801200000000001</v>
      </c>
      <c r="BK28" s="21">
        <v>99.167199999999994</v>
      </c>
      <c r="BL28" s="21">
        <v>100.881</v>
      </c>
      <c r="BM28" s="21">
        <v>106.92100000000001</v>
      </c>
      <c r="BN28" s="21">
        <v>68.554199999999994</v>
      </c>
    </row>
    <row r="29" spans="11:66" x14ac:dyDescent="0.4">
      <c r="K29" s="21">
        <v>280</v>
      </c>
      <c r="L29" s="21">
        <f t="shared" si="1"/>
        <v>341600</v>
      </c>
      <c r="M29" s="66">
        <f t="shared" si="2"/>
        <v>0.75790688128861916</v>
      </c>
      <c r="N29" s="21"/>
      <c r="O29" s="21"/>
      <c r="P29" s="21"/>
      <c r="Q29" s="21"/>
      <c r="R29" s="21"/>
      <c r="S29" s="21"/>
      <c r="T29" s="21"/>
      <c r="U29" s="21"/>
      <c r="V29" s="21"/>
      <c r="W29" s="21"/>
      <c r="X29" s="21"/>
      <c r="Y29" s="21"/>
      <c r="Z29" s="21"/>
      <c r="AA29" s="21"/>
      <c r="AB29" s="21"/>
      <c r="AC29" s="66">
        <f t="shared" si="3"/>
        <v>-3.6340418636890179E-2</v>
      </c>
      <c r="AD29" s="66">
        <f t="shared" si="3"/>
        <v>-9.1631238469124479E-2</v>
      </c>
      <c r="AE29" s="66">
        <f t="shared" si="3"/>
        <v>-6.6751178736957351E-2</v>
      </c>
      <c r="AF29" s="66">
        <f t="shared" si="3"/>
        <v>-0.16490892417715086</v>
      </c>
      <c r="AG29" s="66">
        <f t="shared" si="3"/>
        <v>-0.17023682121034273</v>
      </c>
      <c r="AH29" s="66">
        <f t="shared" si="3"/>
        <v>-0.1974537602785795</v>
      </c>
      <c r="AI29" s="66">
        <f t="shared" si="3"/>
        <v>-0.24799545515197341</v>
      </c>
      <c r="AJ29" s="66">
        <f t="shared" si="3"/>
        <v>-0.16601429850223309</v>
      </c>
      <c r="AK29" s="66">
        <f t="shared" si="3"/>
        <v>-0.11689671754501579</v>
      </c>
      <c r="AL29" s="66">
        <f t="shared" si="3"/>
        <v>-8.5767365988490635E-2</v>
      </c>
      <c r="AM29" s="66">
        <f t="shared" si="3"/>
        <v>-7.9618273272238679E-2</v>
      </c>
      <c r="AN29" s="66">
        <f t="shared" si="3"/>
        <v>-5.1212035236559643E-2</v>
      </c>
      <c r="AO29" s="21"/>
      <c r="AP29" s="21">
        <v>77.761899999999997</v>
      </c>
      <c r="AQ29" s="21">
        <v>84.772400000000005</v>
      </c>
      <c r="AR29" s="21">
        <v>82.355099999999993</v>
      </c>
      <c r="AS29" s="21">
        <v>75.788499999999999</v>
      </c>
      <c r="AT29" s="21">
        <v>69.520799999999994</v>
      </c>
      <c r="AU29" s="21">
        <v>49.508299999999998</v>
      </c>
      <c r="AV29" s="21">
        <v>49.462600000000002</v>
      </c>
      <c r="AW29" s="21">
        <v>41.668700000000001</v>
      </c>
      <c r="AX29" s="21">
        <v>112.294</v>
      </c>
      <c r="AY29" s="21">
        <v>110.345</v>
      </c>
      <c r="AZ29" s="21">
        <v>116.104</v>
      </c>
      <c r="BA29" s="21">
        <v>72.254499999999993</v>
      </c>
      <c r="BB29" s="21"/>
      <c r="BC29" s="21">
        <v>74.936000000000007</v>
      </c>
      <c r="BD29" s="21">
        <v>77.004599999999996</v>
      </c>
      <c r="BE29" s="21">
        <v>76.857799999999997</v>
      </c>
      <c r="BF29" s="21">
        <v>63.290300000000002</v>
      </c>
      <c r="BG29" s="21">
        <v>57.6858</v>
      </c>
      <c r="BH29" s="21">
        <v>39.732700000000001</v>
      </c>
      <c r="BI29" s="21">
        <v>37.196100000000001</v>
      </c>
      <c r="BJ29" s="21">
        <v>34.751100000000001</v>
      </c>
      <c r="BK29" s="21">
        <v>99.167199999999994</v>
      </c>
      <c r="BL29" s="21">
        <v>100.881</v>
      </c>
      <c r="BM29" s="21">
        <v>106.86</v>
      </c>
      <c r="BN29" s="21">
        <v>68.554199999999994</v>
      </c>
    </row>
    <row r="30" spans="11:66" x14ac:dyDescent="0.4">
      <c r="K30" s="21">
        <v>290</v>
      </c>
      <c r="L30" s="21">
        <f t="shared" si="1"/>
        <v>353800</v>
      </c>
      <c r="M30" s="66">
        <f t="shared" si="2"/>
        <v>0.78497498419178413</v>
      </c>
      <c r="N30" s="21"/>
      <c r="O30" s="21"/>
      <c r="P30" s="21"/>
      <c r="Q30" s="21"/>
      <c r="R30" s="21"/>
      <c r="S30" s="21"/>
      <c r="T30" s="21"/>
      <c r="U30" s="21"/>
      <c r="V30" s="21"/>
      <c r="W30" s="21"/>
      <c r="X30" s="21"/>
      <c r="Y30" s="21"/>
      <c r="Z30" s="21"/>
      <c r="AA30" s="21"/>
      <c r="AB30" s="21"/>
      <c r="AC30" s="66">
        <f t="shared" si="3"/>
        <v>-3.7353768362141243E-2</v>
      </c>
      <c r="AD30" s="66">
        <f t="shared" si="3"/>
        <v>-9.1631238469124479E-2</v>
      </c>
      <c r="AE30" s="66">
        <f t="shared" si="3"/>
        <v>-6.725509409860464E-2</v>
      </c>
      <c r="AF30" s="66">
        <f t="shared" si="3"/>
        <v>-0.16490892417715086</v>
      </c>
      <c r="AG30" s="66">
        <f t="shared" si="3"/>
        <v>-0.17462112058549376</v>
      </c>
      <c r="AH30" s="66">
        <f t="shared" si="3"/>
        <v>-0.1974537602785795</v>
      </c>
      <c r="AI30" s="66">
        <f t="shared" si="3"/>
        <v>-0.24799545515197341</v>
      </c>
      <c r="AJ30" s="66">
        <f t="shared" si="3"/>
        <v>-0.16721423994509077</v>
      </c>
      <c r="AK30" s="66">
        <f t="shared" si="3"/>
        <v>-0.11689671754501579</v>
      </c>
      <c r="AL30" s="66">
        <f t="shared" si="3"/>
        <v>-8.5767365988490635E-2</v>
      </c>
      <c r="AM30" s="66">
        <f t="shared" si="3"/>
        <v>-8.0143664300971473E-2</v>
      </c>
      <c r="AN30" s="66">
        <f t="shared" si="3"/>
        <v>-5.1212035236559643E-2</v>
      </c>
      <c r="AO30" s="21"/>
      <c r="AP30" s="21">
        <v>77.761899999999997</v>
      </c>
      <c r="AQ30" s="21">
        <v>84.772400000000005</v>
      </c>
      <c r="AR30" s="21">
        <v>82.355099999999993</v>
      </c>
      <c r="AS30" s="21">
        <v>75.788499999999999</v>
      </c>
      <c r="AT30" s="21">
        <v>69.520799999999994</v>
      </c>
      <c r="AU30" s="21">
        <v>49.508299999999998</v>
      </c>
      <c r="AV30" s="21">
        <v>49.462600000000002</v>
      </c>
      <c r="AW30" s="21">
        <v>41.668700000000001</v>
      </c>
      <c r="AX30" s="21">
        <v>112.294</v>
      </c>
      <c r="AY30" s="21">
        <v>110.345</v>
      </c>
      <c r="AZ30" s="21">
        <v>116.104</v>
      </c>
      <c r="BA30" s="21">
        <v>72.254499999999993</v>
      </c>
      <c r="BB30" s="21"/>
      <c r="BC30" s="21">
        <v>74.857200000000006</v>
      </c>
      <c r="BD30" s="21">
        <v>77.004599999999996</v>
      </c>
      <c r="BE30" s="21">
        <v>76.816299999999998</v>
      </c>
      <c r="BF30" s="21">
        <v>63.290300000000002</v>
      </c>
      <c r="BG30" s="21">
        <v>57.381</v>
      </c>
      <c r="BH30" s="21">
        <v>39.732700000000001</v>
      </c>
      <c r="BI30" s="21">
        <v>37.196100000000001</v>
      </c>
      <c r="BJ30" s="21">
        <v>34.701099999999997</v>
      </c>
      <c r="BK30" s="21">
        <v>99.167199999999994</v>
      </c>
      <c r="BL30" s="21">
        <v>100.881</v>
      </c>
      <c r="BM30" s="21">
        <v>106.79900000000001</v>
      </c>
      <c r="BN30" s="21">
        <v>68.554199999999994</v>
      </c>
    </row>
    <row r="31" spans="11:66" x14ac:dyDescent="0.4">
      <c r="K31" s="21">
        <v>300</v>
      </c>
      <c r="L31" s="21">
        <f t="shared" si="1"/>
        <v>366000</v>
      </c>
      <c r="M31" s="66">
        <f t="shared" si="2"/>
        <v>0.8120430870949491</v>
      </c>
      <c r="N31" s="21"/>
      <c r="O31" s="21"/>
      <c r="P31" s="21"/>
      <c r="Q31" s="21"/>
      <c r="R31" s="21"/>
      <c r="S31" s="21"/>
      <c r="T31" s="21"/>
      <c r="U31" s="21"/>
      <c r="V31" s="21"/>
      <c r="W31" s="21"/>
      <c r="X31" s="21"/>
      <c r="Y31" s="21"/>
      <c r="Z31" s="21"/>
      <c r="AA31" s="21"/>
      <c r="AB31" s="21"/>
      <c r="AC31" s="66">
        <f t="shared" si="3"/>
        <v>-3.7353768362141243E-2</v>
      </c>
      <c r="AD31" s="66">
        <f t="shared" si="3"/>
        <v>-9.1631238469124479E-2</v>
      </c>
      <c r="AE31" s="66">
        <f t="shared" si="3"/>
        <v>-6.7760223714135467E-2</v>
      </c>
      <c r="AF31" s="66">
        <f t="shared" si="3"/>
        <v>-0.16490892417715086</v>
      </c>
      <c r="AG31" s="66">
        <f t="shared" si="3"/>
        <v>-0.17900541996064481</v>
      </c>
      <c r="AH31" s="66">
        <f t="shared" si="3"/>
        <v>-0.1974537602785795</v>
      </c>
      <c r="AI31" s="66">
        <f t="shared" si="3"/>
        <v>-0.24799545515197341</v>
      </c>
      <c r="AJ31" s="66">
        <f t="shared" si="3"/>
        <v>-0.16841658127083392</v>
      </c>
      <c r="AK31" s="66">
        <f t="shared" si="3"/>
        <v>-0.11689671754501579</v>
      </c>
      <c r="AL31" s="66">
        <f t="shared" si="3"/>
        <v>-8.5767365988490635E-2</v>
      </c>
      <c r="AM31" s="66">
        <f t="shared" si="3"/>
        <v>-8.0669055329704406E-2</v>
      </c>
      <c r="AN31" s="66">
        <f t="shared" si="3"/>
        <v>-5.1212035236559643E-2</v>
      </c>
      <c r="AO31" s="21"/>
      <c r="AP31" s="21">
        <v>77.761899999999997</v>
      </c>
      <c r="AQ31" s="21">
        <v>84.772400000000005</v>
      </c>
      <c r="AR31" s="21">
        <v>82.355099999999993</v>
      </c>
      <c r="AS31" s="21">
        <v>75.788499999999999</v>
      </c>
      <c r="AT31" s="21">
        <v>69.520799999999994</v>
      </c>
      <c r="AU31" s="21">
        <v>49.508299999999998</v>
      </c>
      <c r="AV31" s="21">
        <v>49.462600000000002</v>
      </c>
      <c r="AW31" s="21">
        <v>41.668700000000001</v>
      </c>
      <c r="AX31" s="21">
        <v>112.294</v>
      </c>
      <c r="AY31" s="21">
        <v>110.345</v>
      </c>
      <c r="AZ31" s="21">
        <v>116.104</v>
      </c>
      <c r="BA31" s="21">
        <v>72.254499999999993</v>
      </c>
      <c r="BB31" s="21"/>
      <c r="BC31" s="21">
        <v>74.857200000000006</v>
      </c>
      <c r="BD31" s="21">
        <v>77.004599999999996</v>
      </c>
      <c r="BE31" s="21">
        <v>76.774699999999996</v>
      </c>
      <c r="BF31" s="21">
        <v>63.290300000000002</v>
      </c>
      <c r="BG31" s="21">
        <v>57.0762</v>
      </c>
      <c r="BH31" s="21">
        <v>39.732700000000001</v>
      </c>
      <c r="BI31" s="21">
        <v>37.196100000000001</v>
      </c>
      <c r="BJ31" s="21">
        <v>34.651000000000003</v>
      </c>
      <c r="BK31" s="21">
        <v>99.167199999999994</v>
      </c>
      <c r="BL31" s="21">
        <v>100.881</v>
      </c>
      <c r="BM31" s="21">
        <v>106.738</v>
      </c>
      <c r="BN31" s="21">
        <v>68.554199999999994</v>
      </c>
    </row>
    <row r="32" spans="11:66" x14ac:dyDescent="0.4">
      <c r="K32" s="21">
        <v>310</v>
      </c>
      <c r="L32" s="21">
        <f t="shared" si="1"/>
        <v>378200</v>
      </c>
      <c r="M32" s="66">
        <f t="shared" si="2"/>
        <v>0.83911118999811407</v>
      </c>
      <c r="N32" s="21"/>
      <c r="O32" s="21"/>
      <c r="P32" s="21"/>
      <c r="Q32" s="21"/>
      <c r="R32" s="21"/>
      <c r="S32" s="21"/>
      <c r="T32" s="21"/>
      <c r="U32" s="21"/>
      <c r="V32" s="21"/>
      <c r="W32" s="21"/>
      <c r="X32" s="21"/>
      <c r="Y32" s="21"/>
      <c r="Z32" s="21"/>
      <c r="AA32" s="21"/>
      <c r="AB32" s="21"/>
      <c r="AC32" s="66">
        <f t="shared" si="3"/>
        <v>-3.7353768362141243E-2</v>
      </c>
      <c r="AD32" s="66">
        <f t="shared" si="3"/>
        <v>-9.1631238469124479E-2</v>
      </c>
      <c r="AE32" s="66">
        <f t="shared" si="3"/>
        <v>-6.8265353329666295E-2</v>
      </c>
      <c r="AF32" s="66">
        <f t="shared" si="3"/>
        <v>-0.16490892417715086</v>
      </c>
      <c r="AG32" s="66">
        <f t="shared" si="3"/>
        <v>-0.18338828091736561</v>
      </c>
      <c r="AH32" s="66">
        <f t="shared" si="3"/>
        <v>-0.1974537602785795</v>
      </c>
      <c r="AI32" s="66">
        <f t="shared" si="3"/>
        <v>-0.24799545515197341</v>
      </c>
      <c r="AJ32" s="66">
        <f t="shared" si="3"/>
        <v>-0.16961652271369163</v>
      </c>
      <c r="AK32" s="66">
        <f t="shared" si="3"/>
        <v>-0.11689671754501579</v>
      </c>
      <c r="AL32" s="66">
        <f t="shared" si="3"/>
        <v>-8.5767365988490635E-2</v>
      </c>
      <c r="AM32" s="66">
        <f t="shared" si="3"/>
        <v>-8.11944463584372E-2</v>
      </c>
      <c r="AN32" s="66">
        <f t="shared" si="3"/>
        <v>-5.1212035236559643E-2</v>
      </c>
      <c r="AO32" s="21"/>
      <c r="AP32" s="21">
        <v>77.761899999999997</v>
      </c>
      <c r="AQ32" s="21">
        <v>84.772400000000005</v>
      </c>
      <c r="AR32" s="21">
        <v>82.355099999999993</v>
      </c>
      <c r="AS32" s="21">
        <v>75.788499999999999</v>
      </c>
      <c r="AT32" s="21">
        <v>69.520799999999994</v>
      </c>
      <c r="AU32" s="21">
        <v>49.508299999999998</v>
      </c>
      <c r="AV32" s="21">
        <v>49.462600000000002</v>
      </c>
      <c r="AW32" s="21">
        <v>41.668700000000001</v>
      </c>
      <c r="AX32" s="21">
        <v>112.294</v>
      </c>
      <c r="AY32" s="21">
        <v>110.345</v>
      </c>
      <c r="AZ32" s="21">
        <v>116.104</v>
      </c>
      <c r="BA32" s="21">
        <v>72.254499999999993</v>
      </c>
      <c r="BB32" s="21"/>
      <c r="BC32" s="21">
        <v>74.857200000000006</v>
      </c>
      <c r="BD32" s="21">
        <v>77.004599999999996</v>
      </c>
      <c r="BE32" s="21">
        <v>76.733099999999993</v>
      </c>
      <c r="BF32" s="21">
        <v>63.290300000000002</v>
      </c>
      <c r="BG32" s="21">
        <v>56.771500000000003</v>
      </c>
      <c r="BH32" s="21">
        <v>39.732700000000001</v>
      </c>
      <c r="BI32" s="21">
        <v>37.196100000000001</v>
      </c>
      <c r="BJ32" s="21">
        <v>34.600999999999999</v>
      </c>
      <c r="BK32" s="21">
        <v>99.167199999999994</v>
      </c>
      <c r="BL32" s="21">
        <v>100.881</v>
      </c>
      <c r="BM32" s="21">
        <v>106.67700000000001</v>
      </c>
      <c r="BN32" s="21">
        <v>68.554199999999994</v>
      </c>
    </row>
    <row r="33" spans="11:66" x14ac:dyDescent="0.4">
      <c r="K33" s="21">
        <v>320</v>
      </c>
      <c r="L33" s="21">
        <f t="shared" si="1"/>
        <v>390400</v>
      </c>
      <c r="M33" s="66">
        <f t="shared" si="2"/>
        <v>0.86617929290127904</v>
      </c>
      <c r="N33" s="21"/>
      <c r="O33" s="21"/>
      <c r="P33" s="21"/>
      <c r="Q33" s="21"/>
      <c r="R33" s="21"/>
      <c r="S33" s="21"/>
      <c r="T33" s="21"/>
      <c r="U33" s="21"/>
      <c r="V33" s="21"/>
      <c r="W33" s="21"/>
      <c r="X33" s="21"/>
      <c r="Y33" s="21"/>
      <c r="Z33" s="21"/>
      <c r="AA33" s="21"/>
      <c r="AB33" s="21"/>
      <c r="AC33" s="66">
        <f t="shared" si="3"/>
        <v>-3.7353768362141243E-2</v>
      </c>
      <c r="AD33" s="66">
        <f t="shared" si="3"/>
        <v>-9.1631238469124479E-2</v>
      </c>
      <c r="AE33" s="66">
        <f t="shared" si="3"/>
        <v>-6.8770482945196942E-2</v>
      </c>
      <c r="AF33" s="66">
        <f t="shared" si="3"/>
        <v>-0.16490892417715086</v>
      </c>
      <c r="AG33" s="66">
        <f t="shared" si="3"/>
        <v>-0.18777258029251667</v>
      </c>
      <c r="AH33" s="66">
        <f t="shared" si="3"/>
        <v>-0.1974537602785795</v>
      </c>
      <c r="AI33" s="66">
        <f t="shared" si="3"/>
        <v>-0.24799545515197341</v>
      </c>
      <c r="AJ33" s="66">
        <f t="shared" si="3"/>
        <v>-0.17081886403943494</v>
      </c>
      <c r="AK33" s="66">
        <f t="shared" si="3"/>
        <v>-0.11689671754501579</v>
      </c>
      <c r="AL33" s="66">
        <f t="shared" si="3"/>
        <v>-8.5767365988490635E-2</v>
      </c>
      <c r="AM33" s="66">
        <f t="shared" si="3"/>
        <v>-8.1719837387170119E-2</v>
      </c>
      <c r="AN33" s="66">
        <f t="shared" si="3"/>
        <v>-5.1212035236559643E-2</v>
      </c>
      <c r="AO33" s="21"/>
      <c r="AP33" s="21">
        <v>77.761899999999997</v>
      </c>
      <c r="AQ33" s="21">
        <v>84.772400000000005</v>
      </c>
      <c r="AR33" s="21">
        <v>82.355099999999993</v>
      </c>
      <c r="AS33" s="21">
        <v>75.788499999999999</v>
      </c>
      <c r="AT33" s="21">
        <v>69.520799999999994</v>
      </c>
      <c r="AU33" s="21">
        <v>49.508299999999998</v>
      </c>
      <c r="AV33" s="21">
        <v>49.462600000000002</v>
      </c>
      <c r="AW33" s="21">
        <v>41.668700000000001</v>
      </c>
      <c r="AX33" s="21">
        <v>112.294</v>
      </c>
      <c r="AY33" s="21">
        <v>110.345</v>
      </c>
      <c r="AZ33" s="21">
        <v>116.104</v>
      </c>
      <c r="BA33" s="21">
        <v>72.254499999999993</v>
      </c>
      <c r="BB33" s="21"/>
      <c r="BC33" s="21">
        <v>74.857200000000006</v>
      </c>
      <c r="BD33" s="21">
        <v>77.004599999999996</v>
      </c>
      <c r="BE33" s="21">
        <v>76.691500000000005</v>
      </c>
      <c r="BF33" s="21">
        <v>63.290300000000002</v>
      </c>
      <c r="BG33" s="21">
        <v>56.466700000000003</v>
      </c>
      <c r="BH33" s="21">
        <v>39.732700000000001</v>
      </c>
      <c r="BI33" s="21">
        <v>37.196100000000001</v>
      </c>
      <c r="BJ33" s="21">
        <v>34.550899999999999</v>
      </c>
      <c r="BK33" s="21">
        <v>99.167199999999994</v>
      </c>
      <c r="BL33" s="21">
        <v>100.881</v>
      </c>
      <c r="BM33" s="21">
        <v>106.616</v>
      </c>
      <c r="BN33" s="21">
        <v>68.554199999999994</v>
      </c>
    </row>
    <row r="34" spans="11:66" x14ac:dyDescent="0.4">
      <c r="K34" s="21">
        <v>330</v>
      </c>
      <c r="L34" s="21">
        <f t="shared" si="1"/>
        <v>402600</v>
      </c>
      <c r="M34" s="66">
        <f t="shared" si="2"/>
        <v>0.89324739580444401</v>
      </c>
      <c r="N34" s="21"/>
      <c r="O34" s="21"/>
      <c r="P34" s="21"/>
      <c r="Q34" s="21"/>
      <c r="R34" s="21"/>
      <c r="S34" s="21"/>
      <c r="T34" s="21"/>
      <c r="U34" s="21"/>
      <c r="V34" s="21"/>
      <c r="W34" s="21"/>
      <c r="X34" s="21"/>
      <c r="Y34" s="21"/>
      <c r="Z34" s="21"/>
      <c r="AA34" s="21"/>
      <c r="AB34" s="21"/>
      <c r="AC34" s="66">
        <f t="shared" si="3"/>
        <v>-3.7353768362141243E-2</v>
      </c>
      <c r="AD34" s="66">
        <f t="shared" si="3"/>
        <v>-9.1631238469124479E-2</v>
      </c>
      <c r="AE34" s="66">
        <f t="shared" si="3"/>
        <v>-6.927561256072777E-2</v>
      </c>
      <c r="AF34" s="66">
        <f t="shared" si="3"/>
        <v>-0.16490892417715086</v>
      </c>
      <c r="AG34" s="66">
        <f t="shared" si="3"/>
        <v>-0.1921568796676677</v>
      </c>
      <c r="AH34" s="66">
        <f t="shared" si="3"/>
        <v>-0.1974537602785795</v>
      </c>
      <c r="AI34" s="66">
        <f t="shared" si="3"/>
        <v>-0.24799545515197341</v>
      </c>
      <c r="AJ34" s="66">
        <f t="shared" si="3"/>
        <v>-0.17201880548229245</v>
      </c>
      <c r="AK34" s="66">
        <f t="shared" si="3"/>
        <v>-0.11689671754501579</v>
      </c>
      <c r="AL34" s="66">
        <f t="shared" si="3"/>
        <v>-8.5767365988490635E-2</v>
      </c>
      <c r="AM34" s="66">
        <f t="shared" si="3"/>
        <v>-8.2245228415902913E-2</v>
      </c>
      <c r="AN34" s="66">
        <f t="shared" si="3"/>
        <v>-5.1212035236559643E-2</v>
      </c>
      <c r="AO34" s="21"/>
      <c r="AP34" s="21">
        <v>77.761899999999997</v>
      </c>
      <c r="AQ34" s="21">
        <v>84.772400000000005</v>
      </c>
      <c r="AR34" s="21">
        <v>82.355099999999993</v>
      </c>
      <c r="AS34" s="21">
        <v>75.788499999999999</v>
      </c>
      <c r="AT34" s="21">
        <v>69.520799999999994</v>
      </c>
      <c r="AU34" s="21">
        <v>49.508299999999998</v>
      </c>
      <c r="AV34" s="21">
        <v>49.462600000000002</v>
      </c>
      <c r="AW34" s="21">
        <v>41.668700000000001</v>
      </c>
      <c r="AX34" s="21">
        <v>112.294</v>
      </c>
      <c r="AY34" s="21">
        <v>110.345</v>
      </c>
      <c r="AZ34" s="21">
        <v>116.104</v>
      </c>
      <c r="BA34" s="21">
        <v>72.254499999999993</v>
      </c>
      <c r="BB34" s="21"/>
      <c r="BC34" s="21">
        <v>74.857200000000006</v>
      </c>
      <c r="BD34" s="21">
        <v>77.004599999999996</v>
      </c>
      <c r="BE34" s="21">
        <v>76.649900000000002</v>
      </c>
      <c r="BF34" s="21">
        <v>63.290300000000002</v>
      </c>
      <c r="BG34" s="21">
        <v>56.161900000000003</v>
      </c>
      <c r="BH34" s="21">
        <v>39.732700000000001</v>
      </c>
      <c r="BI34" s="21">
        <v>37.196100000000001</v>
      </c>
      <c r="BJ34" s="21">
        <v>34.500900000000001</v>
      </c>
      <c r="BK34" s="21">
        <v>99.167199999999994</v>
      </c>
      <c r="BL34" s="21">
        <v>100.881</v>
      </c>
      <c r="BM34" s="21">
        <v>106.55500000000001</v>
      </c>
      <c r="BN34" s="21">
        <v>68.554199999999994</v>
      </c>
    </row>
    <row r="35" spans="11:66" x14ac:dyDescent="0.4">
      <c r="K35" s="21">
        <v>340</v>
      </c>
      <c r="L35" s="21">
        <f t="shared" si="1"/>
        <v>414800</v>
      </c>
      <c r="M35" s="66">
        <f t="shared" si="2"/>
        <v>0.92031549870760898</v>
      </c>
      <c r="N35" s="21"/>
      <c r="O35" s="21"/>
      <c r="P35" s="21"/>
      <c r="Q35" s="21"/>
      <c r="R35" s="21"/>
      <c r="S35" s="21"/>
      <c r="T35" s="21"/>
      <c r="U35" s="21"/>
      <c r="V35" s="21"/>
      <c r="W35" s="21"/>
      <c r="X35" s="21"/>
      <c r="Y35" s="21"/>
      <c r="Z35" s="21"/>
      <c r="AA35" s="21"/>
      <c r="AB35" s="21"/>
      <c r="AC35" s="66">
        <f t="shared" si="3"/>
        <v>-3.7353768362141243E-2</v>
      </c>
      <c r="AD35" s="66">
        <f t="shared" si="3"/>
        <v>-9.1631238469124479E-2</v>
      </c>
      <c r="AE35" s="66">
        <f t="shared" si="3"/>
        <v>-6.9779527922375059E-2</v>
      </c>
      <c r="AF35" s="66">
        <f t="shared" si="3"/>
        <v>-0.16490892417715086</v>
      </c>
      <c r="AG35" s="66">
        <f t="shared" si="3"/>
        <v>-0.19653974062438861</v>
      </c>
      <c r="AH35" s="66">
        <f t="shared" si="3"/>
        <v>-0.1974537602785795</v>
      </c>
      <c r="AI35" s="66">
        <f t="shared" si="3"/>
        <v>-0.24799545515197341</v>
      </c>
      <c r="AJ35" s="66">
        <f t="shared" si="3"/>
        <v>-0.17322114680803577</v>
      </c>
      <c r="AK35" s="66">
        <f t="shared" si="3"/>
        <v>-0.11689671754501579</v>
      </c>
      <c r="AL35" s="66">
        <f t="shared" si="3"/>
        <v>-8.5767365988490635E-2</v>
      </c>
      <c r="AM35" s="66">
        <f t="shared" si="3"/>
        <v>-8.2770619444635846E-2</v>
      </c>
      <c r="AN35" s="66">
        <f t="shared" si="3"/>
        <v>-5.1212035236559643E-2</v>
      </c>
      <c r="AO35" s="21"/>
      <c r="AP35" s="21">
        <v>77.761899999999997</v>
      </c>
      <c r="AQ35" s="21">
        <v>84.772400000000005</v>
      </c>
      <c r="AR35" s="21">
        <v>82.355099999999993</v>
      </c>
      <c r="AS35" s="21">
        <v>75.788499999999999</v>
      </c>
      <c r="AT35" s="21">
        <v>69.520799999999994</v>
      </c>
      <c r="AU35" s="21">
        <v>49.508299999999998</v>
      </c>
      <c r="AV35" s="21">
        <v>49.462600000000002</v>
      </c>
      <c r="AW35" s="21">
        <v>41.668700000000001</v>
      </c>
      <c r="AX35" s="21">
        <v>112.294</v>
      </c>
      <c r="AY35" s="21">
        <v>110.345</v>
      </c>
      <c r="AZ35" s="21">
        <v>116.104</v>
      </c>
      <c r="BA35" s="21">
        <v>72.254499999999993</v>
      </c>
      <c r="BB35" s="21"/>
      <c r="BC35" s="21">
        <v>74.857200000000006</v>
      </c>
      <c r="BD35" s="21">
        <v>77.004599999999996</v>
      </c>
      <c r="BE35" s="21">
        <v>76.608400000000003</v>
      </c>
      <c r="BF35" s="21">
        <v>63.290300000000002</v>
      </c>
      <c r="BG35" s="21">
        <v>55.857199999999999</v>
      </c>
      <c r="BH35" s="21">
        <v>39.732700000000001</v>
      </c>
      <c r="BI35" s="21">
        <v>37.196100000000001</v>
      </c>
      <c r="BJ35" s="21">
        <v>34.450800000000001</v>
      </c>
      <c r="BK35" s="21">
        <v>99.167199999999994</v>
      </c>
      <c r="BL35" s="21">
        <v>100.881</v>
      </c>
      <c r="BM35" s="21">
        <v>106.494</v>
      </c>
      <c r="BN35" s="21">
        <v>68.554199999999994</v>
      </c>
    </row>
    <row r="36" spans="11:66" x14ac:dyDescent="0.4">
      <c r="K36" s="21">
        <v>350</v>
      </c>
      <c r="L36" s="21">
        <f t="shared" si="1"/>
        <v>427000</v>
      </c>
      <c r="M36" s="66">
        <f t="shared" si="2"/>
        <v>0.94738360161077395</v>
      </c>
      <c r="N36" s="21"/>
      <c r="O36" s="21"/>
      <c r="P36" s="21"/>
      <c r="Q36" s="21"/>
      <c r="R36" s="21"/>
      <c r="S36" s="21"/>
      <c r="T36" s="21"/>
      <c r="U36" s="21"/>
      <c r="V36" s="21"/>
      <c r="W36" s="21"/>
      <c r="X36" s="21"/>
      <c r="Y36" s="21"/>
      <c r="Z36" s="21"/>
      <c r="AA36" s="21"/>
      <c r="AB36" s="21"/>
      <c r="AC36" s="66">
        <f t="shared" si="3"/>
        <v>-3.7353768362141243E-2</v>
      </c>
      <c r="AD36" s="66">
        <f t="shared" si="3"/>
        <v>-9.1631238469124479E-2</v>
      </c>
      <c r="AE36" s="66">
        <f t="shared" si="3"/>
        <v>-7.0284657537905887E-2</v>
      </c>
      <c r="AF36" s="66">
        <f t="shared" si="3"/>
        <v>-0.16490892417715086</v>
      </c>
      <c r="AG36" s="66">
        <f t="shared" si="3"/>
        <v>-0.20092403999953964</v>
      </c>
      <c r="AH36" s="66">
        <f t="shared" si="3"/>
        <v>-0.1974537602785795</v>
      </c>
      <c r="AI36" s="66">
        <f t="shared" si="3"/>
        <v>-0.24799545515197341</v>
      </c>
      <c r="AJ36" s="66">
        <f t="shared" si="3"/>
        <v>-0.17442108825089345</v>
      </c>
      <c r="AK36" s="66">
        <f t="shared" si="3"/>
        <v>-0.11689671754501579</v>
      </c>
      <c r="AL36" s="66">
        <f t="shared" si="3"/>
        <v>-8.5767365988490635E-2</v>
      </c>
      <c r="AM36" s="66">
        <f t="shared" si="3"/>
        <v>-8.329601047336864E-2</v>
      </c>
      <c r="AN36" s="66">
        <f t="shared" si="3"/>
        <v>-5.1212035236559643E-2</v>
      </c>
      <c r="AO36" s="21"/>
      <c r="AP36" s="21">
        <v>77.761899999999997</v>
      </c>
      <c r="AQ36" s="21">
        <v>84.772400000000005</v>
      </c>
      <c r="AR36" s="21">
        <v>82.355099999999993</v>
      </c>
      <c r="AS36" s="21">
        <v>75.788499999999999</v>
      </c>
      <c r="AT36" s="21">
        <v>69.520799999999994</v>
      </c>
      <c r="AU36" s="21">
        <v>49.508299999999998</v>
      </c>
      <c r="AV36" s="21">
        <v>49.462600000000002</v>
      </c>
      <c r="AW36" s="21">
        <v>41.668700000000001</v>
      </c>
      <c r="AX36" s="21">
        <v>112.294</v>
      </c>
      <c r="AY36" s="21">
        <v>110.345</v>
      </c>
      <c r="AZ36" s="21">
        <v>116.104</v>
      </c>
      <c r="BA36" s="21">
        <v>72.254499999999993</v>
      </c>
      <c r="BB36" s="21"/>
      <c r="BC36" s="21">
        <v>74.857200000000006</v>
      </c>
      <c r="BD36" s="21">
        <v>77.004599999999996</v>
      </c>
      <c r="BE36" s="21">
        <v>76.566800000000001</v>
      </c>
      <c r="BF36" s="21">
        <v>63.290300000000002</v>
      </c>
      <c r="BG36" s="21">
        <v>55.552399999999999</v>
      </c>
      <c r="BH36" s="21">
        <v>39.732700000000001</v>
      </c>
      <c r="BI36" s="21">
        <v>37.196100000000001</v>
      </c>
      <c r="BJ36" s="21">
        <v>34.400799999999997</v>
      </c>
      <c r="BK36" s="21">
        <v>99.167199999999994</v>
      </c>
      <c r="BL36" s="21">
        <v>100.881</v>
      </c>
      <c r="BM36" s="21">
        <v>106.43300000000001</v>
      </c>
      <c r="BN36" s="21">
        <v>68.554199999999994</v>
      </c>
    </row>
    <row r="37" spans="11:66" x14ac:dyDescent="0.4">
      <c r="K37" s="21">
        <v>360</v>
      </c>
      <c r="L37" s="21">
        <f t="shared" si="1"/>
        <v>439200</v>
      </c>
      <c r="M37" s="66">
        <f t="shared" si="2"/>
        <v>0.97445170451393892</v>
      </c>
      <c r="N37" s="21"/>
      <c r="O37" s="21"/>
      <c r="P37" s="21"/>
      <c r="Q37" s="21"/>
      <c r="R37" s="21"/>
      <c r="S37" s="21"/>
      <c r="T37" s="21"/>
      <c r="U37" s="21"/>
      <c r="V37" s="21"/>
      <c r="W37" s="21"/>
      <c r="X37" s="21"/>
      <c r="Y37" s="21"/>
      <c r="Z37" s="21"/>
      <c r="AA37" s="21"/>
      <c r="AB37" s="21"/>
      <c r="AC37" s="66">
        <f t="shared" si="3"/>
        <v>-3.7353768362141243E-2</v>
      </c>
      <c r="AD37" s="66">
        <f t="shared" si="3"/>
        <v>-9.1631238469124479E-2</v>
      </c>
      <c r="AE37" s="66">
        <f t="shared" si="3"/>
        <v>-7.0789787153436715E-2</v>
      </c>
      <c r="AF37" s="66">
        <f t="shared" si="3"/>
        <v>-0.16490892417715086</v>
      </c>
      <c r="AG37" s="66">
        <f t="shared" si="3"/>
        <v>-0.2053083393746907</v>
      </c>
      <c r="AH37" s="66">
        <f t="shared" si="3"/>
        <v>-0.1974537602785795</v>
      </c>
      <c r="AI37" s="66">
        <f t="shared" si="3"/>
        <v>-0.24799545515197341</v>
      </c>
      <c r="AJ37" s="66">
        <f t="shared" si="3"/>
        <v>-0.17562102969375099</v>
      </c>
      <c r="AK37" s="66">
        <f t="shared" si="3"/>
        <v>-0.11689671754501579</v>
      </c>
      <c r="AL37" s="66">
        <f t="shared" si="3"/>
        <v>-8.5767365988490635E-2</v>
      </c>
      <c r="AM37" s="66">
        <f t="shared" si="3"/>
        <v>-8.3821401502101558E-2</v>
      </c>
      <c r="AN37" s="66">
        <f t="shared" si="3"/>
        <v>-5.1212035236559643E-2</v>
      </c>
      <c r="AO37" s="21"/>
      <c r="AP37" s="21">
        <v>77.761899999999997</v>
      </c>
      <c r="AQ37" s="21">
        <v>84.772400000000005</v>
      </c>
      <c r="AR37" s="21">
        <v>82.355099999999993</v>
      </c>
      <c r="AS37" s="21">
        <v>75.788499999999999</v>
      </c>
      <c r="AT37" s="21">
        <v>69.520799999999994</v>
      </c>
      <c r="AU37" s="21">
        <v>49.508299999999998</v>
      </c>
      <c r="AV37" s="21">
        <v>49.462600000000002</v>
      </c>
      <c r="AW37" s="21">
        <v>41.668700000000001</v>
      </c>
      <c r="AX37" s="21">
        <v>112.294</v>
      </c>
      <c r="AY37" s="21">
        <v>110.345</v>
      </c>
      <c r="AZ37" s="21">
        <v>116.104</v>
      </c>
      <c r="BA37" s="21">
        <v>72.254499999999993</v>
      </c>
      <c r="BB37" s="21"/>
      <c r="BC37" s="21">
        <v>74.857200000000006</v>
      </c>
      <c r="BD37" s="21">
        <v>77.004599999999996</v>
      </c>
      <c r="BE37" s="21">
        <v>76.525199999999998</v>
      </c>
      <c r="BF37" s="21">
        <v>63.290300000000002</v>
      </c>
      <c r="BG37" s="21">
        <v>55.247599999999998</v>
      </c>
      <c r="BH37" s="21">
        <v>39.732700000000001</v>
      </c>
      <c r="BI37" s="21">
        <v>37.196100000000001</v>
      </c>
      <c r="BJ37" s="21">
        <v>34.3508</v>
      </c>
      <c r="BK37" s="21">
        <v>99.167199999999994</v>
      </c>
      <c r="BL37" s="21">
        <v>100.881</v>
      </c>
      <c r="BM37" s="21">
        <v>106.372</v>
      </c>
      <c r="BN37" s="21">
        <v>68.554199999999994</v>
      </c>
    </row>
    <row r="38" spans="11:66" x14ac:dyDescent="0.4">
      <c r="K38" s="21">
        <v>370</v>
      </c>
      <c r="L38" s="21">
        <f t="shared" si="1"/>
        <v>451400</v>
      </c>
      <c r="M38" s="66">
        <f t="shared" si="2"/>
        <v>1.0015198074171039</v>
      </c>
      <c r="N38" s="21"/>
      <c r="O38" s="21"/>
      <c r="P38" s="21"/>
      <c r="Q38" s="21"/>
      <c r="R38" s="21"/>
      <c r="S38" s="21"/>
      <c r="T38" s="21"/>
      <c r="U38" s="21"/>
      <c r="V38" s="21"/>
      <c r="W38" s="21"/>
      <c r="X38" s="21"/>
      <c r="Y38" s="21"/>
      <c r="Z38" s="21"/>
      <c r="AA38" s="21"/>
      <c r="AB38" s="21"/>
      <c r="AC38" s="66">
        <f t="shared" ref="AC38:AN59" si="4">(BC38-AP38)/AP38</f>
        <v>-3.7353768362141243E-2</v>
      </c>
      <c r="AD38" s="66">
        <f t="shared" si="4"/>
        <v>-9.1631238469124479E-2</v>
      </c>
      <c r="AE38" s="66">
        <f t="shared" si="4"/>
        <v>-7.1294916768967528E-2</v>
      </c>
      <c r="AF38" s="66">
        <f t="shared" si="4"/>
        <v>-0.16490892417715086</v>
      </c>
      <c r="AG38" s="66">
        <f t="shared" si="4"/>
        <v>-0.2096912003314115</v>
      </c>
      <c r="AH38" s="66">
        <f t="shared" si="4"/>
        <v>-0.1974537602785795</v>
      </c>
      <c r="AI38" s="66">
        <f t="shared" si="4"/>
        <v>-0.24799545515197341</v>
      </c>
      <c r="AJ38" s="66">
        <f t="shared" si="4"/>
        <v>-0.1768233710194943</v>
      </c>
      <c r="AK38" s="66">
        <f t="shared" si="4"/>
        <v>-0.11689671754501579</v>
      </c>
      <c r="AL38" s="66">
        <f t="shared" si="4"/>
        <v>-8.5767365988490635E-2</v>
      </c>
      <c r="AM38" s="66">
        <f t="shared" si="4"/>
        <v>-8.4346792530834352E-2</v>
      </c>
      <c r="AN38" s="66">
        <f t="shared" si="4"/>
        <v>-5.1212035236559643E-2</v>
      </c>
      <c r="AO38" s="21"/>
      <c r="AP38" s="21">
        <v>77.761899999999997</v>
      </c>
      <c r="AQ38" s="21">
        <v>84.772400000000005</v>
      </c>
      <c r="AR38" s="21">
        <v>82.355099999999993</v>
      </c>
      <c r="AS38" s="21">
        <v>75.788499999999999</v>
      </c>
      <c r="AT38" s="21">
        <v>69.520799999999994</v>
      </c>
      <c r="AU38" s="21">
        <v>49.508299999999998</v>
      </c>
      <c r="AV38" s="21">
        <v>49.462600000000002</v>
      </c>
      <c r="AW38" s="21">
        <v>41.668700000000001</v>
      </c>
      <c r="AX38" s="21">
        <v>112.294</v>
      </c>
      <c r="AY38" s="21">
        <v>110.345</v>
      </c>
      <c r="AZ38" s="21">
        <v>116.104</v>
      </c>
      <c r="BA38" s="21">
        <v>72.254499999999993</v>
      </c>
      <c r="BB38" s="21"/>
      <c r="BC38" s="21">
        <v>74.857200000000006</v>
      </c>
      <c r="BD38" s="21">
        <v>77.004599999999996</v>
      </c>
      <c r="BE38" s="21">
        <v>76.483599999999996</v>
      </c>
      <c r="BF38" s="21">
        <v>63.290300000000002</v>
      </c>
      <c r="BG38" s="21">
        <v>54.942900000000002</v>
      </c>
      <c r="BH38" s="21">
        <v>39.732700000000001</v>
      </c>
      <c r="BI38" s="21">
        <v>37.196100000000001</v>
      </c>
      <c r="BJ38" s="21">
        <v>34.300699999999999</v>
      </c>
      <c r="BK38" s="21">
        <v>99.167199999999994</v>
      </c>
      <c r="BL38" s="21">
        <v>100.881</v>
      </c>
      <c r="BM38" s="21">
        <v>106.31100000000001</v>
      </c>
      <c r="BN38" s="21">
        <v>68.554199999999994</v>
      </c>
    </row>
    <row r="39" spans="11:66" x14ac:dyDescent="0.4">
      <c r="K39" s="21">
        <v>380</v>
      </c>
      <c r="L39" s="21">
        <f t="shared" si="1"/>
        <v>463600</v>
      </c>
      <c r="M39" s="66">
        <f t="shared" si="2"/>
        <v>1.0285879103202689</v>
      </c>
      <c r="N39" s="21"/>
      <c r="O39" s="21"/>
      <c r="P39" s="21"/>
      <c r="Q39" s="21"/>
      <c r="R39" s="21"/>
      <c r="S39" s="21"/>
      <c r="T39" s="21"/>
      <c r="U39" s="21"/>
      <c r="V39" s="21"/>
      <c r="W39" s="21"/>
      <c r="X39" s="21"/>
      <c r="Y39" s="21"/>
      <c r="Z39" s="21"/>
      <c r="AA39" s="21"/>
      <c r="AB39" s="21"/>
      <c r="AC39" s="66">
        <f t="shared" si="4"/>
        <v>-3.7353768362141243E-2</v>
      </c>
      <c r="AD39" s="66">
        <f t="shared" si="4"/>
        <v>-9.1631238469124479E-2</v>
      </c>
      <c r="AE39" s="66">
        <f t="shared" si="4"/>
        <v>-7.1798832130614831E-2</v>
      </c>
      <c r="AF39" s="66">
        <f t="shared" si="4"/>
        <v>-0.16490892417715086</v>
      </c>
      <c r="AG39" s="66">
        <f t="shared" si="4"/>
        <v>-0.21407549970656256</v>
      </c>
      <c r="AH39" s="66">
        <f t="shared" si="4"/>
        <v>-0.1974537602785795</v>
      </c>
      <c r="AI39" s="66">
        <f t="shared" si="4"/>
        <v>-0.24799545515197341</v>
      </c>
      <c r="AJ39" s="66">
        <f t="shared" si="4"/>
        <v>-0.17802331246235181</v>
      </c>
      <c r="AK39" s="66">
        <f t="shared" si="4"/>
        <v>-0.11689671754501579</v>
      </c>
      <c r="AL39" s="66">
        <f t="shared" si="4"/>
        <v>-8.5767365988490635E-2</v>
      </c>
      <c r="AM39" s="66">
        <f t="shared" si="4"/>
        <v>-8.4872183559567271E-2</v>
      </c>
      <c r="AN39" s="66">
        <f t="shared" si="4"/>
        <v>-5.1212035236559643E-2</v>
      </c>
      <c r="AO39" s="21"/>
      <c r="AP39" s="21">
        <v>77.761899999999997</v>
      </c>
      <c r="AQ39" s="21">
        <v>84.772400000000005</v>
      </c>
      <c r="AR39" s="21">
        <v>82.355099999999993</v>
      </c>
      <c r="AS39" s="21">
        <v>75.788499999999999</v>
      </c>
      <c r="AT39" s="21">
        <v>69.520799999999994</v>
      </c>
      <c r="AU39" s="21">
        <v>49.508299999999998</v>
      </c>
      <c r="AV39" s="21">
        <v>49.462600000000002</v>
      </c>
      <c r="AW39" s="21">
        <v>41.668700000000001</v>
      </c>
      <c r="AX39" s="21">
        <v>112.294</v>
      </c>
      <c r="AY39" s="21">
        <v>110.345</v>
      </c>
      <c r="AZ39" s="21">
        <v>116.104</v>
      </c>
      <c r="BA39" s="21">
        <v>72.254499999999993</v>
      </c>
      <c r="BB39" s="21"/>
      <c r="BC39" s="21">
        <v>74.857200000000006</v>
      </c>
      <c r="BD39" s="21">
        <v>77.004599999999996</v>
      </c>
      <c r="BE39" s="21">
        <v>76.442099999999996</v>
      </c>
      <c r="BF39" s="21">
        <v>63.290300000000002</v>
      </c>
      <c r="BG39" s="21">
        <v>54.638100000000001</v>
      </c>
      <c r="BH39" s="21">
        <v>39.732700000000001</v>
      </c>
      <c r="BI39" s="21">
        <v>37.196100000000001</v>
      </c>
      <c r="BJ39" s="21">
        <v>34.250700000000002</v>
      </c>
      <c r="BK39" s="21">
        <v>99.167199999999994</v>
      </c>
      <c r="BL39" s="21">
        <v>100.881</v>
      </c>
      <c r="BM39" s="21">
        <v>106.25</v>
      </c>
      <c r="BN39" s="21">
        <v>68.554199999999994</v>
      </c>
    </row>
    <row r="40" spans="11:66" x14ac:dyDescent="0.4">
      <c r="K40" s="21">
        <v>390</v>
      </c>
      <c r="L40" s="21">
        <f t="shared" si="1"/>
        <v>475800</v>
      </c>
      <c r="M40" s="66">
        <f t="shared" si="2"/>
        <v>1.0556560132234338</v>
      </c>
      <c r="N40" s="21"/>
      <c r="O40" s="21"/>
      <c r="P40" s="21"/>
      <c r="Q40" s="21"/>
      <c r="R40" s="21"/>
      <c r="S40" s="21"/>
      <c r="T40" s="21"/>
      <c r="U40" s="21"/>
      <c r="V40" s="21"/>
      <c r="W40" s="21"/>
      <c r="X40" s="21"/>
      <c r="Y40" s="21"/>
      <c r="Z40" s="21"/>
      <c r="AA40" s="21"/>
      <c r="AB40" s="21"/>
      <c r="AC40" s="66">
        <f t="shared" si="4"/>
        <v>-3.7353768362141243E-2</v>
      </c>
      <c r="AD40" s="66">
        <f t="shared" si="4"/>
        <v>-9.1631238469124479E-2</v>
      </c>
      <c r="AE40" s="66">
        <f t="shared" si="4"/>
        <v>-7.2303961746145645E-2</v>
      </c>
      <c r="AF40" s="66">
        <f t="shared" si="4"/>
        <v>-0.16490892417715086</v>
      </c>
      <c r="AG40" s="66">
        <f t="shared" si="4"/>
        <v>-0.21845979908171359</v>
      </c>
      <c r="AH40" s="66">
        <f t="shared" si="4"/>
        <v>-0.1974537602785795</v>
      </c>
      <c r="AI40" s="66">
        <f t="shared" si="4"/>
        <v>-0.24799545515197341</v>
      </c>
      <c r="AJ40" s="66">
        <f t="shared" si="4"/>
        <v>-0.17922565378809513</v>
      </c>
      <c r="AK40" s="66">
        <f t="shared" si="4"/>
        <v>-0.11689671754501579</v>
      </c>
      <c r="AL40" s="66">
        <f t="shared" si="4"/>
        <v>-8.5767365988490635E-2</v>
      </c>
      <c r="AM40" s="66">
        <f t="shared" si="4"/>
        <v>-8.5397574588300204E-2</v>
      </c>
      <c r="AN40" s="66">
        <f t="shared" si="4"/>
        <v>-5.1212035236559643E-2</v>
      </c>
      <c r="AO40" s="21"/>
      <c r="AP40" s="21">
        <v>77.761899999999997</v>
      </c>
      <c r="AQ40" s="21">
        <v>84.772400000000005</v>
      </c>
      <c r="AR40" s="21">
        <v>82.355099999999993</v>
      </c>
      <c r="AS40" s="21">
        <v>75.788499999999999</v>
      </c>
      <c r="AT40" s="21">
        <v>69.520799999999994</v>
      </c>
      <c r="AU40" s="21">
        <v>49.508299999999998</v>
      </c>
      <c r="AV40" s="21">
        <v>49.462600000000002</v>
      </c>
      <c r="AW40" s="21">
        <v>41.668700000000001</v>
      </c>
      <c r="AX40" s="21">
        <v>112.294</v>
      </c>
      <c r="AY40" s="21">
        <v>110.345</v>
      </c>
      <c r="AZ40" s="21">
        <v>116.104</v>
      </c>
      <c r="BA40" s="21">
        <v>72.254499999999993</v>
      </c>
      <c r="BB40" s="21"/>
      <c r="BC40" s="21">
        <v>74.857200000000006</v>
      </c>
      <c r="BD40" s="21">
        <v>77.004599999999996</v>
      </c>
      <c r="BE40" s="21">
        <v>76.400499999999994</v>
      </c>
      <c r="BF40" s="21">
        <v>63.290300000000002</v>
      </c>
      <c r="BG40" s="21">
        <v>54.333300000000001</v>
      </c>
      <c r="BH40" s="21">
        <v>39.732700000000001</v>
      </c>
      <c r="BI40" s="21">
        <v>37.196100000000001</v>
      </c>
      <c r="BJ40" s="21">
        <v>34.200600000000001</v>
      </c>
      <c r="BK40" s="21">
        <v>99.167199999999994</v>
      </c>
      <c r="BL40" s="21">
        <v>100.881</v>
      </c>
      <c r="BM40" s="21">
        <v>106.18899999999999</v>
      </c>
      <c r="BN40" s="21">
        <v>68.554199999999994</v>
      </c>
    </row>
    <row r="41" spans="11:66" x14ac:dyDescent="0.4">
      <c r="K41" s="21">
        <v>400</v>
      </c>
      <c r="L41" s="21">
        <f t="shared" si="1"/>
        <v>488000</v>
      </c>
      <c r="M41" s="66">
        <f t="shared" si="2"/>
        <v>1.0827241161265988</v>
      </c>
      <c r="N41" s="21"/>
      <c r="O41" s="21"/>
      <c r="P41" s="21"/>
      <c r="Q41" s="21"/>
      <c r="R41" s="21"/>
      <c r="S41" s="21"/>
      <c r="T41" s="21"/>
      <c r="U41" s="21"/>
      <c r="V41" s="21"/>
      <c r="W41" s="21"/>
      <c r="X41" s="21"/>
      <c r="Y41" s="21"/>
      <c r="Z41" s="21"/>
      <c r="AA41" s="21"/>
      <c r="AB41" s="21"/>
      <c r="AC41" s="66">
        <f t="shared" si="4"/>
        <v>-3.7353768362141243E-2</v>
      </c>
      <c r="AD41" s="66">
        <f t="shared" si="4"/>
        <v>-9.1631238469124479E-2</v>
      </c>
      <c r="AE41" s="66">
        <f t="shared" si="4"/>
        <v>-7.2809091361676306E-2</v>
      </c>
      <c r="AF41" s="66">
        <f t="shared" si="4"/>
        <v>-0.16490892417715086</v>
      </c>
      <c r="AG41" s="66">
        <f t="shared" si="4"/>
        <v>-0.22284409845686462</v>
      </c>
      <c r="AH41" s="66">
        <f t="shared" si="4"/>
        <v>-0.1974537602785795</v>
      </c>
      <c r="AI41" s="66">
        <f t="shared" si="4"/>
        <v>-0.24799545515197341</v>
      </c>
      <c r="AJ41" s="66">
        <f t="shared" si="4"/>
        <v>-0.18042559523095281</v>
      </c>
      <c r="AK41" s="66">
        <f t="shared" si="4"/>
        <v>-0.11689671754501579</v>
      </c>
      <c r="AL41" s="66">
        <f t="shared" si="4"/>
        <v>-8.5767365988490635E-2</v>
      </c>
      <c r="AM41" s="66">
        <f t="shared" si="4"/>
        <v>-8.5922965617032998E-2</v>
      </c>
      <c r="AN41" s="66">
        <f t="shared" si="4"/>
        <v>-5.1212035236559643E-2</v>
      </c>
      <c r="AO41" s="21"/>
      <c r="AP41" s="21">
        <v>77.761899999999997</v>
      </c>
      <c r="AQ41" s="21">
        <v>84.772400000000005</v>
      </c>
      <c r="AR41" s="21">
        <v>82.355099999999993</v>
      </c>
      <c r="AS41" s="21">
        <v>75.788499999999999</v>
      </c>
      <c r="AT41" s="21">
        <v>69.520799999999994</v>
      </c>
      <c r="AU41" s="21">
        <v>49.508299999999998</v>
      </c>
      <c r="AV41" s="21">
        <v>49.462600000000002</v>
      </c>
      <c r="AW41" s="21">
        <v>41.668700000000001</v>
      </c>
      <c r="AX41" s="21">
        <v>112.294</v>
      </c>
      <c r="AY41" s="21">
        <v>110.345</v>
      </c>
      <c r="AZ41" s="21">
        <v>116.104</v>
      </c>
      <c r="BA41" s="21">
        <v>72.254499999999993</v>
      </c>
      <c r="BB41" s="21"/>
      <c r="BC41" s="21">
        <v>74.857200000000006</v>
      </c>
      <c r="BD41" s="21">
        <v>77.004599999999996</v>
      </c>
      <c r="BE41" s="21">
        <v>76.358900000000006</v>
      </c>
      <c r="BF41" s="21">
        <v>63.290300000000002</v>
      </c>
      <c r="BG41" s="21">
        <v>54.028500000000001</v>
      </c>
      <c r="BH41" s="21">
        <v>39.732700000000001</v>
      </c>
      <c r="BI41" s="21">
        <v>37.196100000000001</v>
      </c>
      <c r="BJ41" s="21">
        <v>34.150599999999997</v>
      </c>
      <c r="BK41" s="21">
        <v>99.167199999999994</v>
      </c>
      <c r="BL41" s="21">
        <v>100.881</v>
      </c>
      <c r="BM41" s="21">
        <v>106.128</v>
      </c>
      <c r="BN41" s="21">
        <v>68.554199999999994</v>
      </c>
    </row>
    <row r="42" spans="11:66" x14ac:dyDescent="0.4">
      <c r="K42" s="21">
        <v>410</v>
      </c>
      <c r="L42" s="21">
        <f t="shared" si="1"/>
        <v>500200</v>
      </c>
      <c r="M42" s="66">
        <f t="shared" si="2"/>
        <v>1.1097922190297638</v>
      </c>
      <c r="N42" s="21"/>
      <c r="O42" s="21"/>
      <c r="P42" s="21"/>
      <c r="Q42" s="21"/>
      <c r="R42" s="21"/>
      <c r="S42" s="21"/>
      <c r="T42" s="21"/>
      <c r="U42" s="21"/>
      <c r="V42" s="21"/>
      <c r="W42" s="21"/>
      <c r="X42" s="21"/>
      <c r="Y42" s="21"/>
      <c r="Z42" s="21"/>
      <c r="AA42" s="21"/>
      <c r="AB42" s="21"/>
      <c r="AC42" s="66">
        <f t="shared" si="4"/>
        <v>-3.7353768362141243E-2</v>
      </c>
      <c r="AD42" s="66">
        <f t="shared" si="4"/>
        <v>-9.1631238469124479E-2</v>
      </c>
      <c r="AE42" s="66">
        <f t="shared" si="4"/>
        <v>-7.331422097720712E-2</v>
      </c>
      <c r="AF42" s="66">
        <f t="shared" si="4"/>
        <v>-0.16490892417715086</v>
      </c>
      <c r="AG42" s="66">
        <f t="shared" si="4"/>
        <v>-0.22722695941358556</v>
      </c>
      <c r="AH42" s="66">
        <f t="shared" si="4"/>
        <v>-0.1974537602785795</v>
      </c>
      <c r="AI42" s="66">
        <f t="shared" si="4"/>
        <v>-0.24799545515197341</v>
      </c>
      <c r="AJ42" s="66">
        <f t="shared" si="4"/>
        <v>-0.18162793655669612</v>
      </c>
      <c r="AK42" s="66">
        <f t="shared" si="4"/>
        <v>-0.11689671754501579</v>
      </c>
      <c r="AL42" s="66">
        <f t="shared" si="4"/>
        <v>-8.5767365988490635E-2</v>
      </c>
      <c r="AM42" s="66">
        <f t="shared" si="4"/>
        <v>-8.6448356645765917E-2</v>
      </c>
      <c r="AN42" s="66">
        <f t="shared" si="4"/>
        <v>-5.1212035236559643E-2</v>
      </c>
      <c r="AO42" s="21"/>
      <c r="AP42" s="21">
        <v>77.761899999999997</v>
      </c>
      <c r="AQ42" s="21">
        <v>84.772400000000005</v>
      </c>
      <c r="AR42" s="21">
        <v>82.355099999999993</v>
      </c>
      <c r="AS42" s="21">
        <v>75.788499999999999</v>
      </c>
      <c r="AT42" s="21">
        <v>69.520799999999994</v>
      </c>
      <c r="AU42" s="21">
        <v>49.508299999999998</v>
      </c>
      <c r="AV42" s="21">
        <v>49.462600000000002</v>
      </c>
      <c r="AW42" s="21">
        <v>41.668700000000001</v>
      </c>
      <c r="AX42" s="21">
        <v>112.294</v>
      </c>
      <c r="AY42" s="21">
        <v>110.345</v>
      </c>
      <c r="AZ42" s="21">
        <v>116.104</v>
      </c>
      <c r="BA42" s="21">
        <v>72.254499999999993</v>
      </c>
      <c r="BB42" s="21"/>
      <c r="BC42" s="21">
        <v>74.857200000000006</v>
      </c>
      <c r="BD42" s="21">
        <v>77.004599999999996</v>
      </c>
      <c r="BE42" s="21">
        <v>76.317300000000003</v>
      </c>
      <c r="BF42" s="21">
        <v>63.290300000000002</v>
      </c>
      <c r="BG42" s="21">
        <v>53.723799999999997</v>
      </c>
      <c r="BH42" s="21">
        <v>39.732700000000001</v>
      </c>
      <c r="BI42" s="21">
        <v>37.196100000000001</v>
      </c>
      <c r="BJ42" s="21">
        <v>34.100499999999997</v>
      </c>
      <c r="BK42" s="21">
        <v>99.167199999999994</v>
      </c>
      <c r="BL42" s="21">
        <v>100.881</v>
      </c>
      <c r="BM42" s="21">
        <v>106.06699999999999</v>
      </c>
      <c r="BN42" s="21">
        <v>68.554199999999994</v>
      </c>
    </row>
    <row r="43" spans="11:66" x14ac:dyDescent="0.4">
      <c r="K43" s="21">
        <v>420</v>
      </c>
      <c r="L43" s="21">
        <f t="shared" si="1"/>
        <v>512400</v>
      </c>
      <c r="M43" s="66">
        <f t="shared" si="2"/>
        <v>1.1368603219329287</v>
      </c>
      <c r="N43" s="21"/>
      <c r="O43" s="21"/>
      <c r="P43" s="21"/>
      <c r="Q43" s="21"/>
      <c r="R43" s="21"/>
      <c r="S43" s="21"/>
      <c r="T43" s="21"/>
      <c r="U43" s="21"/>
      <c r="V43" s="21"/>
      <c r="W43" s="21"/>
      <c r="X43" s="21"/>
      <c r="Y43" s="21"/>
      <c r="Z43" s="21"/>
      <c r="AA43" s="21"/>
      <c r="AB43" s="21"/>
      <c r="AC43" s="66">
        <f t="shared" si="4"/>
        <v>-3.7353768362141243E-2</v>
      </c>
      <c r="AD43" s="66">
        <f t="shared" si="4"/>
        <v>-9.1631238469124479E-2</v>
      </c>
      <c r="AE43" s="66">
        <f t="shared" si="4"/>
        <v>-7.3818136338854423E-2</v>
      </c>
      <c r="AF43" s="66">
        <f t="shared" si="4"/>
        <v>-0.16490892417715086</v>
      </c>
      <c r="AG43" s="66">
        <f t="shared" si="4"/>
        <v>-0.23161125878873659</v>
      </c>
      <c r="AH43" s="66">
        <f t="shared" si="4"/>
        <v>-0.1974537602785795</v>
      </c>
      <c r="AI43" s="66">
        <f t="shared" si="4"/>
        <v>-0.24799545515197341</v>
      </c>
      <c r="AJ43" s="66">
        <f t="shared" si="4"/>
        <v>-0.18282787799955366</v>
      </c>
      <c r="AK43" s="66">
        <f t="shared" si="4"/>
        <v>-0.11689671754501579</v>
      </c>
      <c r="AL43" s="66">
        <f t="shared" si="4"/>
        <v>-8.5767365988490635E-2</v>
      </c>
      <c r="AM43" s="66">
        <f t="shared" si="4"/>
        <v>-8.6973747674498711E-2</v>
      </c>
      <c r="AN43" s="66">
        <f t="shared" si="4"/>
        <v>-5.1212035236559643E-2</v>
      </c>
      <c r="AO43" s="21"/>
      <c r="AP43" s="21">
        <v>77.761899999999997</v>
      </c>
      <c r="AQ43" s="21">
        <v>84.772400000000005</v>
      </c>
      <c r="AR43" s="21">
        <v>82.355099999999993</v>
      </c>
      <c r="AS43" s="21">
        <v>75.788499999999999</v>
      </c>
      <c r="AT43" s="21">
        <v>69.520799999999994</v>
      </c>
      <c r="AU43" s="21">
        <v>49.508299999999998</v>
      </c>
      <c r="AV43" s="21">
        <v>49.462600000000002</v>
      </c>
      <c r="AW43" s="21">
        <v>41.668700000000001</v>
      </c>
      <c r="AX43" s="21">
        <v>112.294</v>
      </c>
      <c r="AY43" s="21">
        <v>110.345</v>
      </c>
      <c r="AZ43" s="21">
        <v>116.104</v>
      </c>
      <c r="BA43" s="21">
        <v>72.254499999999993</v>
      </c>
      <c r="BB43" s="21"/>
      <c r="BC43" s="21">
        <v>74.857200000000006</v>
      </c>
      <c r="BD43" s="21">
        <v>77.004599999999996</v>
      </c>
      <c r="BE43" s="21">
        <v>76.275800000000004</v>
      </c>
      <c r="BF43" s="21">
        <v>63.290300000000002</v>
      </c>
      <c r="BG43" s="21">
        <v>53.418999999999997</v>
      </c>
      <c r="BH43" s="21">
        <v>39.732700000000001</v>
      </c>
      <c r="BI43" s="21">
        <v>37.196100000000001</v>
      </c>
      <c r="BJ43" s="21">
        <v>34.0505</v>
      </c>
      <c r="BK43" s="21">
        <v>99.167199999999994</v>
      </c>
      <c r="BL43" s="21">
        <v>100.881</v>
      </c>
      <c r="BM43" s="21">
        <v>106.006</v>
      </c>
      <c r="BN43" s="21">
        <v>68.554199999999994</v>
      </c>
    </row>
    <row r="44" spans="11:66" x14ac:dyDescent="0.4">
      <c r="K44" s="21">
        <v>430</v>
      </c>
      <c r="L44" s="21">
        <f t="shared" si="1"/>
        <v>524600</v>
      </c>
      <c r="M44" s="66">
        <f t="shared" si="2"/>
        <v>1.1639284248360937</v>
      </c>
      <c r="N44" s="21"/>
      <c r="O44" s="21"/>
      <c r="P44" s="21"/>
      <c r="Q44" s="21"/>
      <c r="R44" s="21"/>
      <c r="S44" s="21"/>
      <c r="T44" s="21"/>
      <c r="U44" s="21"/>
      <c r="V44" s="21"/>
      <c r="W44" s="21"/>
      <c r="X44" s="21"/>
      <c r="Y44" s="21"/>
      <c r="Z44" s="21"/>
      <c r="AA44" s="21"/>
      <c r="AB44" s="21"/>
      <c r="AC44" s="66">
        <f t="shared" si="4"/>
        <v>-3.7353768362141243E-2</v>
      </c>
      <c r="AD44" s="66">
        <f t="shared" si="4"/>
        <v>-9.1631238469124479E-2</v>
      </c>
      <c r="AE44" s="66">
        <f t="shared" si="4"/>
        <v>-7.4323265954385251E-2</v>
      </c>
      <c r="AF44" s="66">
        <f t="shared" si="4"/>
        <v>-0.16490892417715086</v>
      </c>
      <c r="AG44" s="66">
        <f t="shared" si="4"/>
        <v>-0.23599555816388762</v>
      </c>
      <c r="AH44" s="66">
        <f t="shared" si="4"/>
        <v>-0.1974537602785795</v>
      </c>
      <c r="AI44" s="66">
        <f t="shared" si="4"/>
        <v>-0.24799545515197341</v>
      </c>
      <c r="AJ44" s="66">
        <f t="shared" si="4"/>
        <v>-0.18402781944241117</v>
      </c>
      <c r="AK44" s="66">
        <f t="shared" si="4"/>
        <v>-0.11689671754501579</v>
      </c>
      <c r="AL44" s="66">
        <f t="shared" si="4"/>
        <v>-8.5767365988490635E-2</v>
      </c>
      <c r="AM44" s="66">
        <f t="shared" si="4"/>
        <v>-8.7499138703231644E-2</v>
      </c>
      <c r="AN44" s="66">
        <f t="shared" si="4"/>
        <v>-5.1212035236559643E-2</v>
      </c>
      <c r="AO44" s="21"/>
      <c r="AP44" s="21">
        <v>77.761899999999997</v>
      </c>
      <c r="AQ44" s="21">
        <v>84.772400000000005</v>
      </c>
      <c r="AR44" s="21">
        <v>82.355099999999993</v>
      </c>
      <c r="AS44" s="21">
        <v>75.788499999999999</v>
      </c>
      <c r="AT44" s="21">
        <v>69.520799999999994</v>
      </c>
      <c r="AU44" s="21">
        <v>49.508299999999998</v>
      </c>
      <c r="AV44" s="21">
        <v>49.462600000000002</v>
      </c>
      <c r="AW44" s="21">
        <v>41.668700000000001</v>
      </c>
      <c r="AX44" s="21">
        <v>112.294</v>
      </c>
      <c r="AY44" s="21">
        <v>110.345</v>
      </c>
      <c r="AZ44" s="21">
        <v>116.104</v>
      </c>
      <c r="BA44" s="21">
        <v>72.254499999999993</v>
      </c>
      <c r="BB44" s="21"/>
      <c r="BC44" s="21">
        <v>74.857200000000006</v>
      </c>
      <c r="BD44" s="21">
        <v>77.004599999999996</v>
      </c>
      <c r="BE44" s="21">
        <v>76.234200000000001</v>
      </c>
      <c r="BF44" s="21">
        <v>63.290300000000002</v>
      </c>
      <c r="BG44" s="21">
        <v>53.114199999999997</v>
      </c>
      <c r="BH44" s="21">
        <v>39.732700000000001</v>
      </c>
      <c r="BI44" s="21">
        <v>37.196100000000001</v>
      </c>
      <c r="BJ44" s="21">
        <v>34.000500000000002</v>
      </c>
      <c r="BK44" s="21">
        <v>99.167199999999994</v>
      </c>
      <c r="BL44" s="21">
        <v>100.881</v>
      </c>
      <c r="BM44" s="21">
        <v>105.94499999999999</v>
      </c>
      <c r="BN44" s="21">
        <v>68.554199999999994</v>
      </c>
    </row>
    <row r="45" spans="11:66" x14ac:dyDescent="0.4">
      <c r="K45" s="21">
        <v>440</v>
      </c>
      <c r="L45" s="21">
        <f t="shared" si="1"/>
        <v>536800</v>
      </c>
      <c r="M45" s="66">
        <f t="shared" si="2"/>
        <v>1.1909965277392587</v>
      </c>
      <c r="N45" s="21"/>
      <c r="O45" s="21"/>
      <c r="P45" s="21"/>
      <c r="Q45" s="21"/>
      <c r="R45" s="21"/>
      <c r="S45" s="21"/>
      <c r="T45" s="21"/>
      <c r="U45" s="21"/>
      <c r="V45" s="21"/>
      <c r="W45" s="21"/>
      <c r="X45" s="21"/>
      <c r="Y45" s="21"/>
      <c r="Z45" s="21"/>
      <c r="AA45" s="21"/>
      <c r="AB45" s="21"/>
      <c r="AC45" s="66">
        <f t="shared" si="4"/>
        <v>-3.7353768362141243E-2</v>
      </c>
      <c r="AD45" s="66">
        <f t="shared" si="4"/>
        <v>-9.1631238469124479E-2</v>
      </c>
      <c r="AE45" s="66">
        <f t="shared" si="4"/>
        <v>-7.4828395569916065E-2</v>
      </c>
      <c r="AF45" s="66">
        <f t="shared" si="4"/>
        <v>-0.16490892417715086</v>
      </c>
      <c r="AG45" s="66">
        <f t="shared" si="4"/>
        <v>-0.24037841912060845</v>
      </c>
      <c r="AH45" s="66">
        <f t="shared" si="4"/>
        <v>-0.1974537602785795</v>
      </c>
      <c r="AI45" s="66">
        <f t="shared" si="4"/>
        <v>-0.24799545515197341</v>
      </c>
      <c r="AJ45" s="66">
        <f t="shared" si="4"/>
        <v>-0.18523016076815449</v>
      </c>
      <c r="AK45" s="66">
        <f t="shared" si="4"/>
        <v>-0.11689671754501579</v>
      </c>
      <c r="AL45" s="66">
        <f t="shared" si="4"/>
        <v>-8.5767365988490635E-2</v>
      </c>
      <c r="AM45" s="66">
        <f t="shared" si="4"/>
        <v>-8.8024529731964438E-2</v>
      </c>
      <c r="AN45" s="66">
        <f t="shared" si="4"/>
        <v>-5.1212035236559643E-2</v>
      </c>
      <c r="AO45" s="21"/>
      <c r="AP45" s="21">
        <v>77.761899999999997</v>
      </c>
      <c r="AQ45" s="21">
        <v>84.772400000000005</v>
      </c>
      <c r="AR45" s="21">
        <v>82.355099999999993</v>
      </c>
      <c r="AS45" s="21">
        <v>75.788499999999999</v>
      </c>
      <c r="AT45" s="21">
        <v>69.520799999999994</v>
      </c>
      <c r="AU45" s="21">
        <v>49.508299999999998</v>
      </c>
      <c r="AV45" s="21">
        <v>49.462600000000002</v>
      </c>
      <c r="AW45" s="21">
        <v>41.668700000000001</v>
      </c>
      <c r="AX45" s="21">
        <v>112.294</v>
      </c>
      <c r="AY45" s="21">
        <v>110.345</v>
      </c>
      <c r="AZ45" s="21">
        <v>116.104</v>
      </c>
      <c r="BA45" s="21">
        <v>72.254499999999993</v>
      </c>
      <c r="BB45" s="21"/>
      <c r="BC45" s="21">
        <v>74.857200000000006</v>
      </c>
      <c r="BD45" s="21">
        <v>77.004599999999996</v>
      </c>
      <c r="BE45" s="21">
        <v>76.192599999999999</v>
      </c>
      <c r="BF45" s="21">
        <v>63.290300000000002</v>
      </c>
      <c r="BG45" s="21">
        <v>52.8095</v>
      </c>
      <c r="BH45" s="21">
        <v>39.732700000000001</v>
      </c>
      <c r="BI45" s="21">
        <v>37.196100000000001</v>
      </c>
      <c r="BJ45" s="21">
        <v>33.950400000000002</v>
      </c>
      <c r="BK45" s="21">
        <v>99.167199999999994</v>
      </c>
      <c r="BL45" s="21">
        <v>100.881</v>
      </c>
      <c r="BM45" s="21">
        <v>105.884</v>
      </c>
      <c r="BN45" s="21">
        <v>68.554199999999994</v>
      </c>
    </row>
    <row r="46" spans="11:66" x14ac:dyDescent="0.4">
      <c r="K46" s="21">
        <v>450</v>
      </c>
      <c r="L46" s="21">
        <f t="shared" si="1"/>
        <v>549000</v>
      </c>
      <c r="M46" s="66">
        <f t="shared" si="2"/>
        <v>1.2180646306424237</v>
      </c>
      <c r="N46" s="21"/>
      <c r="O46" s="21"/>
      <c r="P46" s="21"/>
      <c r="Q46" s="21"/>
      <c r="R46" s="21"/>
      <c r="S46" s="21"/>
      <c r="T46" s="21"/>
      <c r="U46" s="21"/>
      <c r="V46" s="21"/>
      <c r="W46" s="21"/>
      <c r="X46" s="21"/>
      <c r="Y46" s="21"/>
      <c r="Z46" s="21"/>
      <c r="AA46" s="21"/>
      <c r="AB46" s="21"/>
      <c r="AC46" s="66">
        <f t="shared" si="4"/>
        <v>-3.7353768362141243E-2</v>
      </c>
      <c r="AD46" s="66">
        <f t="shared" si="4"/>
        <v>-9.1631238469124479E-2</v>
      </c>
      <c r="AE46" s="66">
        <f t="shared" si="4"/>
        <v>-7.5333525185446892E-2</v>
      </c>
      <c r="AF46" s="66">
        <f t="shared" si="4"/>
        <v>-0.16490892417715086</v>
      </c>
      <c r="AG46" s="66">
        <f t="shared" si="4"/>
        <v>-0.24476271849575948</v>
      </c>
      <c r="AH46" s="66">
        <f t="shared" si="4"/>
        <v>-0.1974537602785795</v>
      </c>
      <c r="AI46" s="66">
        <f t="shared" si="4"/>
        <v>-0.24799545515197341</v>
      </c>
      <c r="AJ46" s="66">
        <f t="shared" si="4"/>
        <v>-0.18643010221101219</v>
      </c>
      <c r="AK46" s="66">
        <f t="shared" si="4"/>
        <v>-0.11689671754501579</v>
      </c>
      <c r="AL46" s="66">
        <f t="shared" si="4"/>
        <v>-8.5767365988490635E-2</v>
      </c>
      <c r="AM46" s="66">
        <f t="shared" si="4"/>
        <v>-8.8549920760697357E-2</v>
      </c>
      <c r="AN46" s="66">
        <f t="shared" si="4"/>
        <v>-5.1212035236559643E-2</v>
      </c>
      <c r="AO46" s="21"/>
      <c r="AP46" s="21">
        <v>77.761899999999997</v>
      </c>
      <c r="AQ46" s="21">
        <v>84.772400000000005</v>
      </c>
      <c r="AR46" s="21">
        <v>82.355099999999993</v>
      </c>
      <c r="AS46" s="21">
        <v>75.788499999999999</v>
      </c>
      <c r="AT46" s="21">
        <v>69.520799999999994</v>
      </c>
      <c r="AU46" s="21">
        <v>49.508299999999998</v>
      </c>
      <c r="AV46" s="21">
        <v>49.462600000000002</v>
      </c>
      <c r="AW46" s="21">
        <v>41.668700000000001</v>
      </c>
      <c r="AX46" s="21">
        <v>112.294</v>
      </c>
      <c r="AY46" s="21">
        <v>110.345</v>
      </c>
      <c r="AZ46" s="21">
        <v>116.104</v>
      </c>
      <c r="BA46" s="21">
        <v>72.254499999999993</v>
      </c>
      <c r="BB46" s="21"/>
      <c r="BC46" s="21">
        <v>74.857200000000006</v>
      </c>
      <c r="BD46" s="21">
        <v>77.004599999999996</v>
      </c>
      <c r="BE46" s="21">
        <v>76.150999999999996</v>
      </c>
      <c r="BF46" s="21">
        <v>63.290300000000002</v>
      </c>
      <c r="BG46" s="21">
        <v>52.5047</v>
      </c>
      <c r="BH46" s="21">
        <v>39.732700000000001</v>
      </c>
      <c r="BI46" s="21">
        <v>37.196100000000001</v>
      </c>
      <c r="BJ46" s="21">
        <v>33.900399999999998</v>
      </c>
      <c r="BK46" s="21">
        <v>99.167199999999994</v>
      </c>
      <c r="BL46" s="21">
        <v>100.881</v>
      </c>
      <c r="BM46" s="21">
        <v>105.82299999999999</v>
      </c>
      <c r="BN46" s="21">
        <v>68.554199999999994</v>
      </c>
    </row>
    <row r="47" spans="11:66" x14ac:dyDescent="0.4">
      <c r="K47" s="21">
        <v>460</v>
      </c>
      <c r="L47" s="21">
        <f t="shared" si="1"/>
        <v>561200</v>
      </c>
      <c r="M47" s="66">
        <f t="shared" si="2"/>
        <v>1.2451327335455886</v>
      </c>
      <c r="N47" s="21"/>
      <c r="O47" s="21"/>
      <c r="P47" s="21"/>
      <c r="Q47" s="21"/>
      <c r="R47" s="21"/>
      <c r="S47" s="21"/>
      <c r="T47" s="21"/>
      <c r="U47" s="21"/>
      <c r="V47" s="21"/>
      <c r="W47" s="21"/>
      <c r="X47" s="21"/>
      <c r="Y47" s="21"/>
      <c r="Z47" s="21"/>
      <c r="AA47" s="21"/>
      <c r="AB47" s="21"/>
      <c r="AC47" s="66">
        <f t="shared" si="4"/>
        <v>-3.7353768362141243E-2</v>
      </c>
      <c r="AD47" s="66">
        <f t="shared" si="4"/>
        <v>-9.1631238469124479E-2</v>
      </c>
      <c r="AE47" s="66">
        <f t="shared" si="4"/>
        <v>-7.583865480097772E-2</v>
      </c>
      <c r="AF47" s="66">
        <f t="shared" si="4"/>
        <v>-0.16490892417715086</v>
      </c>
      <c r="AG47" s="66">
        <f t="shared" si="4"/>
        <v>-0.24914701787091051</v>
      </c>
      <c r="AH47" s="66">
        <f t="shared" si="4"/>
        <v>-0.1974537602785795</v>
      </c>
      <c r="AI47" s="66">
        <f t="shared" si="4"/>
        <v>-0.24799545515197341</v>
      </c>
      <c r="AJ47" s="66">
        <f t="shared" si="4"/>
        <v>-0.18763244353675551</v>
      </c>
      <c r="AK47" s="66">
        <f t="shared" si="4"/>
        <v>-0.11689671754501579</v>
      </c>
      <c r="AL47" s="66">
        <f t="shared" si="4"/>
        <v>-8.5767365988490635E-2</v>
      </c>
      <c r="AM47" s="66">
        <f t="shared" si="4"/>
        <v>-8.907531178943015E-2</v>
      </c>
      <c r="AN47" s="66">
        <f t="shared" si="4"/>
        <v>-5.1212035236559643E-2</v>
      </c>
      <c r="AO47" s="21"/>
      <c r="AP47" s="21">
        <v>77.761899999999997</v>
      </c>
      <c r="AQ47" s="21">
        <v>84.772400000000005</v>
      </c>
      <c r="AR47" s="21">
        <v>82.355099999999993</v>
      </c>
      <c r="AS47" s="21">
        <v>75.788499999999999</v>
      </c>
      <c r="AT47" s="21">
        <v>69.520799999999994</v>
      </c>
      <c r="AU47" s="21">
        <v>49.508299999999998</v>
      </c>
      <c r="AV47" s="21">
        <v>49.462600000000002</v>
      </c>
      <c r="AW47" s="21">
        <v>41.668700000000001</v>
      </c>
      <c r="AX47" s="21">
        <v>112.294</v>
      </c>
      <c r="AY47" s="21">
        <v>110.345</v>
      </c>
      <c r="AZ47" s="21">
        <v>116.104</v>
      </c>
      <c r="BA47" s="21">
        <v>72.254499999999993</v>
      </c>
      <c r="BB47" s="21"/>
      <c r="BC47" s="21">
        <v>74.857200000000006</v>
      </c>
      <c r="BD47" s="21">
        <v>77.004599999999996</v>
      </c>
      <c r="BE47" s="21">
        <v>76.109399999999994</v>
      </c>
      <c r="BF47" s="21">
        <v>63.290300000000002</v>
      </c>
      <c r="BG47" s="21">
        <v>52.1999</v>
      </c>
      <c r="BH47" s="21">
        <v>39.732700000000001</v>
      </c>
      <c r="BI47" s="21">
        <v>37.196100000000001</v>
      </c>
      <c r="BJ47" s="21">
        <v>33.850299999999997</v>
      </c>
      <c r="BK47" s="21">
        <v>99.167199999999994</v>
      </c>
      <c r="BL47" s="21">
        <v>100.881</v>
      </c>
      <c r="BM47" s="21">
        <v>105.762</v>
      </c>
      <c r="BN47" s="21">
        <v>68.554199999999994</v>
      </c>
    </row>
    <row r="48" spans="11:66" x14ac:dyDescent="0.4">
      <c r="K48" s="21">
        <v>470</v>
      </c>
      <c r="L48" s="21">
        <f t="shared" si="1"/>
        <v>573400</v>
      </c>
      <c r="M48" s="66">
        <f t="shared" si="2"/>
        <v>1.2722008364487536</v>
      </c>
      <c r="N48" s="21"/>
      <c r="O48" s="21"/>
      <c r="P48" s="21"/>
      <c r="Q48" s="21"/>
      <c r="R48" s="21"/>
      <c r="S48" s="21"/>
      <c r="T48" s="21"/>
      <c r="U48" s="21"/>
      <c r="V48" s="21"/>
      <c r="W48" s="21"/>
      <c r="X48" s="21"/>
      <c r="Y48" s="21"/>
      <c r="Z48" s="21"/>
      <c r="AA48" s="21"/>
      <c r="AB48" s="21"/>
      <c r="AC48" s="66">
        <f t="shared" si="4"/>
        <v>-3.7353768362141243E-2</v>
      </c>
      <c r="AD48" s="66">
        <f t="shared" si="4"/>
        <v>-9.1631238469124479E-2</v>
      </c>
      <c r="AE48" s="66">
        <f t="shared" si="4"/>
        <v>-7.6342570162625009E-2</v>
      </c>
      <c r="AF48" s="66">
        <f t="shared" si="4"/>
        <v>-0.16490892417715086</v>
      </c>
      <c r="AG48" s="66">
        <f t="shared" si="4"/>
        <v>-0.25352987882763134</v>
      </c>
      <c r="AH48" s="66">
        <f t="shared" si="4"/>
        <v>-0.1974537602785795</v>
      </c>
      <c r="AI48" s="66">
        <f t="shared" si="4"/>
        <v>-0.24799545515197341</v>
      </c>
      <c r="AJ48" s="66">
        <f t="shared" si="4"/>
        <v>-0.18883238497961302</v>
      </c>
      <c r="AK48" s="66">
        <f t="shared" si="4"/>
        <v>-0.11689671754501579</v>
      </c>
      <c r="AL48" s="66">
        <f t="shared" si="4"/>
        <v>-8.5767365988490635E-2</v>
      </c>
      <c r="AM48" s="66">
        <f t="shared" si="4"/>
        <v>-8.9273410046165458E-2</v>
      </c>
      <c r="AN48" s="66">
        <f t="shared" si="4"/>
        <v>-5.1212035236559643E-2</v>
      </c>
      <c r="AO48" s="21"/>
      <c r="AP48" s="21">
        <v>77.761899999999997</v>
      </c>
      <c r="AQ48" s="21">
        <v>84.772400000000005</v>
      </c>
      <c r="AR48" s="21">
        <v>82.355099999999993</v>
      </c>
      <c r="AS48" s="21">
        <v>75.788499999999999</v>
      </c>
      <c r="AT48" s="21">
        <v>69.520799999999994</v>
      </c>
      <c r="AU48" s="21">
        <v>49.508299999999998</v>
      </c>
      <c r="AV48" s="21">
        <v>49.462600000000002</v>
      </c>
      <c r="AW48" s="21">
        <v>41.668700000000001</v>
      </c>
      <c r="AX48" s="21">
        <v>112.294</v>
      </c>
      <c r="AY48" s="21">
        <v>110.345</v>
      </c>
      <c r="AZ48" s="21">
        <v>116.104</v>
      </c>
      <c r="BA48" s="21">
        <v>72.254499999999993</v>
      </c>
      <c r="BB48" s="21"/>
      <c r="BC48" s="21">
        <v>74.857200000000006</v>
      </c>
      <c r="BD48" s="21">
        <v>77.004599999999996</v>
      </c>
      <c r="BE48" s="21">
        <v>76.067899999999995</v>
      </c>
      <c r="BF48" s="21">
        <v>63.290300000000002</v>
      </c>
      <c r="BG48" s="21">
        <v>51.895200000000003</v>
      </c>
      <c r="BH48" s="21">
        <v>39.732700000000001</v>
      </c>
      <c r="BI48" s="21">
        <v>37.196100000000001</v>
      </c>
      <c r="BJ48" s="21">
        <v>33.8003</v>
      </c>
      <c r="BK48" s="21">
        <v>99.167199999999994</v>
      </c>
      <c r="BL48" s="21">
        <v>100.881</v>
      </c>
      <c r="BM48" s="21">
        <v>105.739</v>
      </c>
      <c r="BN48" s="21">
        <v>68.554199999999994</v>
      </c>
    </row>
    <row r="49" spans="11:66" x14ac:dyDescent="0.4">
      <c r="K49" s="21">
        <v>480</v>
      </c>
      <c r="L49" s="21">
        <f t="shared" si="1"/>
        <v>585600</v>
      </c>
      <c r="M49" s="66">
        <f t="shared" si="2"/>
        <v>1.2992689393519186</v>
      </c>
      <c r="N49" s="21"/>
      <c r="O49" s="21"/>
      <c r="P49" s="21"/>
      <c r="Q49" s="21"/>
      <c r="R49" s="21"/>
      <c r="S49" s="21"/>
      <c r="T49" s="21"/>
      <c r="U49" s="21"/>
      <c r="V49" s="21"/>
      <c r="W49" s="21"/>
      <c r="X49" s="21"/>
      <c r="Y49" s="21"/>
      <c r="Z49" s="21"/>
      <c r="AA49" s="21"/>
      <c r="AB49" s="21"/>
      <c r="AC49" s="66">
        <f t="shared" si="4"/>
        <v>-3.7353768362141243E-2</v>
      </c>
      <c r="AD49" s="66">
        <f t="shared" si="4"/>
        <v>-9.1631238469124479E-2</v>
      </c>
      <c r="AE49" s="66">
        <f t="shared" si="4"/>
        <v>-7.6847699778155656E-2</v>
      </c>
      <c r="AF49" s="66">
        <f t="shared" si="4"/>
        <v>-0.16490892417715086</v>
      </c>
      <c r="AG49" s="66">
        <f t="shared" si="4"/>
        <v>-0.2579141782027824</v>
      </c>
      <c r="AH49" s="66">
        <f t="shared" si="4"/>
        <v>-0.1974537602785795</v>
      </c>
      <c r="AI49" s="66">
        <f t="shared" si="4"/>
        <v>-0.24799545515197341</v>
      </c>
      <c r="AJ49" s="66">
        <f t="shared" si="4"/>
        <v>-0.19003472630535634</v>
      </c>
      <c r="AK49" s="66">
        <f t="shared" si="4"/>
        <v>-0.11689671754501579</v>
      </c>
      <c r="AL49" s="66">
        <f t="shared" si="4"/>
        <v>-8.5767365988490635E-2</v>
      </c>
      <c r="AM49" s="66">
        <f t="shared" si="4"/>
        <v>-8.9273410046165458E-2</v>
      </c>
      <c r="AN49" s="66">
        <f t="shared" si="4"/>
        <v>-5.1212035236559643E-2</v>
      </c>
      <c r="AO49" s="21"/>
      <c r="AP49" s="21">
        <v>77.761899999999997</v>
      </c>
      <c r="AQ49" s="21">
        <v>84.772400000000005</v>
      </c>
      <c r="AR49" s="21">
        <v>82.355099999999993</v>
      </c>
      <c r="AS49" s="21">
        <v>75.788499999999999</v>
      </c>
      <c r="AT49" s="21">
        <v>69.520799999999994</v>
      </c>
      <c r="AU49" s="21">
        <v>49.508299999999998</v>
      </c>
      <c r="AV49" s="21">
        <v>49.462600000000002</v>
      </c>
      <c r="AW49" s="21">
        <v>41.668700000000001</v>
      </c>
      <c r="AX49" s="21">
        <v>112.294</v>
      </c>
      <c r="AY49" s="21">
        <v>110.345</v>
      </c>
      <c r="AZ49" s="21">
        <v>116.104</v>
      </c>
      <c r="BA49" s="21">
        <v>72.254499999999993</v>
      </c>
      <c r="BB49" s="21"/>
      <c r="BC49" s="21">
        <v>74.857200000000006</v>
      </c>
      <c r="BD49" s="21">
        <v>77.004599999999996</v>
      </c>
      <c r="BE49" s="21">
        <v>76.026300000000006</v>
      </c>
      <c r="BF49" s="21">
        <v>63.290300000000002</v>
      </c>
      <c r="BG49" s="21">
        <v>51.590400000000002</v>
      </c>
      <c r="BH49" s="21">
        <v>39.732700000000001</v>
      </c>
      <c r="BI49" s="21">
        <v>37.196100000000001</v>
      </c>
      <c r="BJ49" s="21">
        <v>33.7502</v>
      </c>
      <c r="BK49" s="21">
        <v>99.167199999999994</v>
      </c>
      <c r="BL49" s="21">
        <v>100.881</v>
      </c>
      <c r="BM49" s="21">
        <v>105.739</v>
      </c>
      <c r="BN49" s="21">
        <v>68.554199999999994</v>
      </c>
    </row>
    <row r="50" spans="11:66" x14ac:dyDescent="0.4">
      <c r="K50" s="21">
        <v>490</v>
      </c>
      <c r="L50" s="21">
        <f t="shared" si="1"/>
        <v>597800</v>
      </c>
      <c r="M50" s="66">
        <f t="shared" si="2"/>
        <v>1.3263370422550835</v>
      </c>
      <c r="N50" s="21"/>
      <c r="O50" s="21"/>
      <c r="P50" s="21"/>
      <c r="Q50" s="21"/>
      <c r="R50" s="21"/>
      <c r="S50" s="21"/>
      <c r="T50" s="21"/>
      <c r="U50" s="21"/>
      <c r="V50" s="21"/>
      <c r="W50" s="21"/>
      <c r="X50" s="21"/>
      <c r="Y50" s="21"/>
      <c r="Z50" s="21"/>
      <c r="AA50" s="21"/>
      <c r="AB50" s="21"/>
      <c r="AC50" s="66">
        <f t="shared" si="4"/>
        <v>-3.7353768362141243E-2</v>
      </c>
      <c r="AD50" s="66">
        <f t="shared" si="4"/>
        <v>-9.1631238469124479E-2</v>
      </c>
      <c r="AE50" s="66">
        <f t="shared" si="4"/>
        <v>-7.7352829393686484E-2</v>
      </c>
      <c r="AF50" s="66">
        <f t="shared" si="4"/>
        <v>-0.16490892417715086</v>
      </c>
      <c r="AG50" s="66">
        <f t="shared" si="4"/>
        <v>-0.2622984775779334</v>
      </c>
      <c r="AH50" s="66">
        <f t="shared" si="4"/>
        <v>-0.1974537602785795</v>
      </c>
      <c r="AI50" s="66">
        <f t="shared" si="4"/>
        <v>-0.24799545515197341</v>
      </c>
      <c r="AJ50" s="66">
        <f t="shared" si="4"/>
        <v>-0.19123466774821385</v>
      </c>
      <c r="AK50" s="66">
        <f t="shared" si="4"/>
        <v>-0.11689671754501579</v>
      </c>
      <c r="AL50" s="66">
        <f t="shared" si="4"/>
        <v>-8.5767365988490635E-2</v>
      </c>
      <c r="AM50" s="66">
        <f t="shared" si="4"/>
        <v>-8.9273410046165458E-2</v>
      </c>
      <c r="AN50" s="66">
        <f t="shared" si="4"/>
        <v>-5.1212035236559643E-2</v>
      </c>
      <c r="AO50" s="21"/>
      <c r="AP50" s="21">
        <v>77.761899999999997</v>
      </c>
      <c r="AQ50" s="21">
        <v>84.772400000000005</v>
      </c>
      <c r="AR50" s="21">
        <v>82.355099999999993</v>
      </c>
      <c r="AS50" s="21">
        <v>75.788499999999999</v>
      </c>
      <c r="AT50" s="21">
        <v>69.520799999999994</v>
      </c>
      <c r="AU50" s="21">
        <v>49.508299999999998</v>
      </c>
      <c r="AV50" s="21">
        <v>49.462600000000002</v>
      </c>
      <c r="AW50" s="21">
        <v>41.668700000000001</v>
      </c>
      <c r="AX50" s="21">
        <v>112.294</v>
      </c>
      <c r="AY50" s="21">
        <v>110.345</v>
      </c>
      <c r="AZ50" s="21">
        <v>116.104</v>
      </c>
      <c r="BA50" s="21">
        <v>72.254499999999993</v>
      </c>
      <c r="BB50" s="21"/>
      <c r="BC50" s="21">
        <v>74.857200000000006</v>
      </c>
      <c r="BD50" s="21">
        <v>77.004599999999996</v>
      </c>
      <c r="BE50" s="21">
        <v>75.984700000000004</v>
      </c>
      <c r="BF50" s="21">
        <v>63.290300000000002</v>
      </c>
      <c r="BG50" s="21">
        <v>51.285600000000002</v>
      </c>
      <c r="BH50" s="21">
        <v>39.732700000000001</v>
      </c>
      <c r="BI50" s="21">
        <v>37.196100000000001</v>
      </c>
      <c r="BJ50" s="21">
        <v>33.700200000000002</v>
      </c>
      <c r="BK50" s="21">
        <v>99.167199999999994</v>
      </c>
      <c r="BL50" s="21">
        <v>100.881</v>
      </c>
      <c r="BM50" s="21">
        <v>105.739</v>
      </c>
      <c r="BN50" s="21">
        <v>68.554199999999994</v>
      </c>
    </row>
    <row r="51" spans="11:66" x14ac:dyDescent="0.4">
      <c r="K51" s="21">
        <v>500</v>
      </c>
      <c r="L51" s="21">
        <f t="shared" si="1"/>
        <v>610000</v>
      </c>
      <c r="M51" s="66">
        <f t="shared" si="2"/>
        <v>1.3534051451582485</v>
      </c>
      <c r="N51" s="21"/>
      <c r="O51" s="21"/>
      <c r="P51" s="21"/>
      <c r="Q51" s="21"/>
      <c r="R51" s="21"/>
      <c r="S51" s="21"/>
      <c r="T51" s="21"/>
      <c r="U51" s="21"/>
      <c r="V51" s="21"/>
      <c r="W51" s="21"/>
      <c r="X51" s="21"/>
      <c r="Y51" s="21"/>
      <c r="Z51" s="21"/>
      <c r="AA51" s="21"/>
      <c r="AB51" s="21"/>
      <c r="AC51" s="66">
        <f t="shared" si="4"/>
        <v>-3.7353768362141243E-2</v>
      </c>
      <c r="AD51" s="66">
        <f t="shared" si="4"/>
        <v>-9.1631238469124479E-2</v>
      </c>
      <c r="AE51" s="66">
        <f t="shared" si="4"/>
        <v>-7.7857959009217312E-2</v>
      </c>
      <c r="AF51" s="66">
        <f t="shared" si="4"/>
        <v>-0.16490892417715086</v>
      </c>
      <c r="AG51" s="66">
        <f t="shared" si="4"/>
        <v>-0.26436260802522404</v>
      </c>
      <c r="AH51" s="66">
        <f t="shared" si="4"/>
        <v>-0.1974537602785795</v>
      </c>
      <c r="AI51" s="66">
        <f t="shared" si="4"/>
        <v>-0.24799545515197341</v>
      </c>
      <c r="AJ51" s="66">
        <f t="shared" si="4"/>
        <v>-0.19243700907395717</v>
      </c>
      <c r="AK51" s="66">
        <f t="shared" si="4"/>
        <v>-0.11689671754501579</v>
      </c>
      <c r="AL51" s="66">
        <f t="shared" si="4"/>
        <v>-8.5767365988490635E-2</v>
      </c>
      <c r="AM51" s="66">
        <f t="shared" si="4"/>
        <v>-8.9273410046165458E-2</v>
      </c>
      <c r="AN51" s="66">
        <f t="shared" si="4"/>
        <v>-5.1212035236559643E-2</v>
      </c>
      <c r="AO51" s="21"/>
      <c r="AP51" s="21">
        <v>77.761899999999997</v>
      </c>
      <c r="AQ51" s="21">
        <v>84.772400000000005</v>
      </c>
      <c r="AR51" s="21">
        <v>82.355099999999993</v>
      </c>
      <c r="AS51" s="21">
        <v>75.788499999999999</v>
      </c>
      <c r="AT51" s="21">
        <v>69.520799999999994</v>
      </c>
      <c r="AU51" s="21">
        <v>49.508299999999998</v>
      </c>
      <c r="AV51" s="21">
        <v>49.462600000000002</v>
      </c>
      <c r="AW51" s="21">
        <v>41.668700000000001</v>
      </c>
      <c r="AX51" s="21">
        <v>112.294</v>
      </c>
      <c r="AY51" s="21">
        <v>110.345</v>
      </c>
      <c r="AZ51" s="21">
        <v>116.104</v>
      </c>
      <c r="BA51" s="21">
        <v>72.254499999999993</v>
      </c>
      <c r="BB51" s="21"/>
      <c r="BC51" s="21">
        <v>74.857200000000006</v>
      </c>
      <c r="BD51" s="21">
        <v>77.004599999999996</v>
      </c>
      <c r="BE51" s="21">
        <v>75.943100000000001</v>
      </c>
      <c r="BF51" s="21">
        <v>63.290300000000002</v>
      </c>
      <c r="BG51" s="21">
        <v>51.142099999999999</v>
      </c>
      <c r="BH51" s="21">
        <v>39.732700000000001</v>
      </c>
      <c r="BI51" s="21">
        <v>37.196100000000001</v>
      </c>
      <c r="BJ51" s="21">
        <v>33.650100000000002</v>
      </c>
      <c r="BK51" s="21">
        <v>99.167199999999994</v>
      </c>
      <c r="BL51" s="21">
        <v>100.881</v>
      </c>
      <c r="BM51" s="21">
        <v>105.739</v>
      </c>
      <c r="BN51" s="21">
        <v>68.554199999999994</v>
      </c>
    </row>
    <row r="52" spans="11:66" x14ac:dyDescent="0.4">
      <c r="K52" s="21">
        <v>510</v>
      </c>
      <c r="L52" s="21">
        <f t="shared" si="1"/>
        <v>622200</v>
      </c>
      <c r="M52" s="66">
        <f t="shared" si="2"/>
        <v>1.3804732480614135</v>
      </c>
      <c r="N52" s="21"/>
      <c r="O52" s="21"/>
      <c r="P52" s="21"/>
      <c r="Q52" s="21"/>
      <c r="R52" s="21"/>
      <c r="S52" s="21"/>
      <c r="T52" s="21"/>
      <c r="U52" s="21"/>
      <c r="V52" s="21"/>
      <c r="W52" s="21"/>
      <c r="X52" s="21"/>
      <c r="Y52" s="21"/>
      <c r="Z52" s="21"/>
      <c r="AA52" s="21"/>
      <c r="AB52" s="21"/>
      <c r="AC52" s="66">
        <f t="shared" si="4"/>
        <v>-3.7353768362141243E-2</v>
      </c>
      <c r="AD52" s="66">
        <f t="shared" si="4"/>
        <v>-9.1631238469124479E-2</v>
      </c>
      <c r="AE52" s="66">
        <f t="shared" si="4"/>
        <v>-7.8361874370864601E-2</v>
      </c>
      <c r="AF52" s="66">
        <f t="shared" si="4"/>
        <v>-0.16490892417715086</v>
      </c>
      <c r="AG52" s="66">
        <f t="shared" si="4"/>
        <v>-0.26436260802522404</v>
      </c>
      <c r="AH52" s="66">
        <f t="shared" si="4"/>
        <v>-0.1974537602785795</v>
      </c>
      <c r="AI52" s="66">
        <f t="shared" si="4"/>
        <v>-0.24799545515197341</v>
      </c>
      <c r="AJ52" s="66">
        <f t="shared" si="4"/>
        <v>-0.19363695051681487</v>
      </c>
      <c r="AK52" s="66">
        <f t="shared" si="4"/>
        <v>-0.11689671754501579</v>
      </c>
      <c r="AL52" s="66">
        <f t="shared" si="4"/>
        <v>-8.5767365988490635E-2</v>
      </c>
      <c r="AM52" s="66">
        <f t="shared" si="4"/>
        <v>-8.9273410046165458E-2</v>
      </c>
      <c r="AN52" s="66">
        <f t="shared" si="4"/>
        <v>-5.1212035236559643E-2</v>
      </c>
      <c r="AO52" s="21"/>
      <c r="AP52" s="21">
        <v>77.761899999999997</v>
      </c>
      <c r="AQ52" s="21">
        <v>84.772400000000005</v>
      </c>
      <c r="AR52" s="21">
        <v>82.355099999999993</v>
      </c>
      <c r="AS52" s="21">
        <v>75.788499999999999</v>
      </c>
      <c r="AT52" s="21">
        <v>69.520799999999994</v>
      </c>
      <c r="AU52" s="21">
        <v>49.508299999999998</v>
      </c>
      <c r="AV52" s="21">
        <v>49.462600000000002</v>
      </c>
      <c r="AW52" s="21">
        <v>41.668700000000001</v>
      </c>
      <c r="AX52" s="21">
        <v>112.294</v>
      </c>
      <c r="AY52" s="21">
        <v>110.345</v>
      </c>
      <c r="AZ52" s="21">
        <v>116.104</v>
      </c>
      <c r="BA52" s="21">
        <v>72.254499999999993</v>
      </c>
      <c r="BB52" s="21"/>
      <c r="BC52" s="21">
        <v>74.857200000000006</v>
      </c>
      <c r="BD52" s="21">
        <v>77.004599999999996</v>
      </c>
      <c r="BE52" s="21">
        <v>75.901600000000002</v>
      </c>
      <c r="BF52" s="21">
        <v>63.290300000000002</v>
      </c>
      <c r="BG52" s="21">
        <v>51.142099999999999</v>
      </c>
      <c r="BH52" s="21">
        <v>39.732700000000001</v>
      </c>
      <c r="BI52" s="21">
        <v>37.196100000000001</v>
      </c>
      <c r="BJ52" s="21">
        <v>33.600099999999998</v>
      </c>
      <c r="BK52" s="21">
        <v>99.167199999999994</v>
      </c>
      <c r="BL52" s="21">
        <v>100.881</v>
      </c>
      <c r="BM52" s="21">
        <v>105.739</v>
      </c>
      <c r="BN52" s="21">
        <v>68.554199999999994</v>
      </c>
    </row>
    <row r="53" spans="11:66" x14ac:dyDescent="0.4">
      <c r="K53" s="21">
        <v>520</v>
      </c>
      <c r="L53" s="21">
        <f t="shared" si="1"/>
        <v>634400</v>
      </c>
      <c r="M53" s="66">
        <f t="shared" si="2"/>
        <v>1.4075413509645784</v>
      </c>
      <c r="N53" s="21"/>
      <c r="O53" s="21"/>
      <c r="P53" s="21"/>
      <c r="Q53" s="21"/>
      <c r="R53" s="21"/>
      <c r="S53" s="21"/>
      <c r="T53" s="21"/>
      <c r="U53" s="21"/>
      <c r="V53" s="21"/>
      <c r="W53" s="21"/>
      <c r="X53" s="21"/>
      <c r="Y53" s="21"/>
      <c r="Z53" s="21"/>
      <c r="AA53" s="21"/>
      <c r="AB53" s="21"/>
      <c r="AC53" s="66">
        <f t="shared" si="4"/>
        <v>-3.7353768362141243E-2</v>
      </c>
      <c r="AD53" s="66">
        <f t="shared" si="4"/>
        <v>-9.1631238469124479E-2</v>
      </c>
      <c r="AE53" s="66">
        <f t="shared" si="4"/>
        <v>-7.8867003986395429E-2</v>
      </c>
      <c r="AF53" s="66">
        <f t="shared" si="4"/>
        <v>-0.16490892417715086</v>
      </c>
      <c r="AG53" s="66">
        <f t="shared" si="4"/>
        <v>-0.26436260802522404</v>
      </c>
      <c r="AH53" s="66">
        <f t="shared" si="4"/>
        <v>-0.1974537602785795</v>
      </c>
      <c r="AI53" s="66">
        <f t="shared" si="4"/>
        <v>-0.24799545515197341</v>
      </c>
      <c r="AJ53" s="66">
        <f t="shared" si="4"/>
        <v>-0.19483689195967238</v>
      </c>
      <c r="AK53" s="66">
        <f t="shared" si="4"/>
        <v>-0.11689671754501579</v>
      </c>
      <c r="AL53" s="66">
        <f t="shared" si="4"/>
        <v>-8.5767365988490635E-2</v>
      </c>
      <c r="AM53" s="66">
        <f t="shared" si="4"/>
        <v>-8.9273410046165458E-2</v>
      </c>
      <c r="AN53" s="66">
        <f t="shared" si="4"/>
        <v>-5.1212035236559643E-2</v>
      </c>
      <c r="AO53" s="21"/>
      <c r="AP53" s="21">
        <v>77.761899999999997</v>
      </c>
      <c r="AQ53" s="21">
        <v>84.772400000000005</v>
      </c>
      <c r="AR53" s="21">
        <v>82.355099999999993</v>
      </c>
      <c r="AS53" s="21">
        <v>75.788499999999999</v>
      </c>
      <c r="AT53" s="21">
        <v>69.520799999999994</v>
      </c>
      <c r="AU53" s="21">
        <v>49.508299999999998</v>
      </c>
      <c r="AV53" s="21">
        <v>49.462600000000002</v>
      </c>
      <c r="AW53" s="21">
        <v>41.668700000000001</v>
      </c>
      <c r="AX53" s="21">
        <v>112.294</v>
      </c>
      <c r="AY53" s="21">
        <v>110.345</v>
      </c>
      <c r="AZ53" s="21">
        <v>116.104</v>
      </c>
      <c r="BA53" s="21">
        <v>72.254499999999993</v>
      </c>
      <c r="BB53" s="21"/>
      <c r="BC53" s="21">
        <v>74.857200000000006</v>
      </c>
      <c r="BD53" s="21">
        <v>77.004599999999996</v>
      </c>
      <c r="BE53" s="21">
        <v>75.86</v>
      </c>
      <c r="BF53" s="21">
        <v>63.290300000000002</v>
      </c>
      <c r="BG53" s="21">
        <v>51.142099999999999</v>
      </c>
      <c r="BH53" s="21">
        <v>39.732700000000001</v>
      </c>
      <c r="BI53" s="21">
        <v>37.196100000000001</v>
      </c>
      <c r="BJ53" s="21">
        <v>33.5501</v>
      </c>
      <c r="BK53" s="21">
        <v>99.167199999999994</v>
      </c>
      <c r="BL53" s="21">
        <v>100.881</v>
      </c>
      <c r="BM53" s="21">
        <v>105.739</v>
      </c>
      <c r="BN53" s="21">
        <v>68.554199999999994</v>
      </c>
    </row>
    <row r="54" spans="11:66" x14ac:dyDescent="0.4">
      <c r="K54" s="21">
        <v>530</v>
      </c>
      <c r="L54" s="21">
        <f t="shared" si="1"/>
        <v>646600</v>
      </c>
      <c r="M54" s="66">
        <f t="shared" si="2"/>
        <v>1.4346094538677434</v>
      </c>
      <c r="N54" s="21"/>
      <c r="O54" s="21"/>
      <c r="P54" s="21"/>
      <c r="Q54" s="21"/>
      <c r="R54" s="21"/>
      <c r="S54" s="21"/>
      <c r="T54" s="21"/>
      <c r="U54" s="21"/>
      <c r="V54" s="21"/>
      <c r="W54" s="21"/>
      <c r="X54" s="21"/>
      <c r="Y54" s="21"/>
      <c r="Z54" s="21"/>
      <c r="AA54" s="21"/>
      <c r="AB54" s="21"/>
      <c r="AC54" s="66">
        <f t="shared" si="4"/>
        <v>-3.7353768362141243E-2</v>
      </c>
      <c r="AD54" s="66">
        <f t="shared" si="4"/>
        <v>-9.1631238469124479E-2</v>
      </c>
      <c r="AE54" s="66">
        <f t="shared" si="4"/>
        <v>-7.9372133601926256E-2</v>
      </c>
      <c r="AF54" s="66">
        <f t="shared" si="4"/>
        <v>-0.16490892417715086</v>
      </c>
      <c r="AG54" s="66">
        <f t="shared" si="4"/>
        <v>-0.26436260802522404</v>
      </c>
      <c r="AH54" s="66">
        <f t="shared" si="4"/>
        <v>-0.1974537602785795</v>
      </c>
      <c r="AI54" s="66">
        <f t="shared" si="4"/>
        <v>-0.24799545515197341</v>
      </c>
      <c r="AJ54" s="66">
        <f t="shared" si="4"/>
        <v>-0.1960392332854157</v>
      </c>
      <c r="AK54" s="66">
        <f t="shared" si="4"/>
        <v>-0.11689671754501579</v>
      </c>
      <c r="AL54" s="66">
        <f t="shared" si="4"/>
        <v>-8.5767365988490635E-2</v>
      </c>
      <c r="AM54" s="66">
        <f t="shared" si="4"/>
        <v>-8.9273410046165458E-2</v>
      </c>
      <c r="AN54" s="66">
        <f t="shared" si="4"/>
        <v>-5.1212035236559643E-2</v>
      </c>
      <c r="AO54" s="21"/>
      <c r="AP54" s="21">
        <v>77.761899999999997</v>
      </c>
      <c r="AQ54" s="21">
        <v>84.772400000000005</v>
      </c>
      <c r="AR54" s="21">
        <v>82.355099999999993</v>
      </c>
      <c r="AS54" s="21">
        <v>75.788499999999999</v>
      </c>
      <c r="AT54" s="21">
        <v>69.520799999999994</v>
      </c>
      <c r="AU54" s="21">
        <v>49.508299999999998</v>
      </c>
      <c r="AV54" s="21">
        <v>49.462600000000002</v>
      </c>
      <c r="AW54" s="21">
        <v>41.668700000000001</v>
      </c>
      <c r="AX54" s="21">
        <v>112.294</v>
      </c>
      <c r="AY54" s="21">
        <v>110.345</v>
      </c>
      <c r="AZ54" s="21">
        <v>116.104</v>
      </c>
      <c r="BA54" s="21">
        <v>72.254499999999993</v>
      </c>
      <c r="BB54" s="21"/>
      <c r="BC54" s="21">
        <v>74.857200000000006</v>
      </c>
      <c r="BD54" s="21">
        <v>77.004599999999996</v>
      </c>
      <c r="BE54" s="21">
        <v>75.818399999999997</v>
      </c>
      <c r="BF54" s="21">
        <v>63.290300000000002</v>
      </c>
      <c r="BG54" s="21">
        <v>51.142099999999999</v>
      </c>
      <c r="BH54" s="21">
        <v>39.732700000000001</v>
      </c>
      <c r="BI54" s="21">
        <v>37.196100000000001</v>
      </c>
      <c r="BJ54" s="21">
        <v>33.5</v>
      </c>
      <c r="BK54" s="21">
        <v>99.167199999999994</v>
      </c>
      <c r="BL54" s="21">
        <v>100.881</v>
      </c>
      <c r="BM54" s="21">
        <v>105.739</v>
      </c>
      <c r="BN54" s="21">
        <v>68.554199999999994</v>
      </c>
    </row>
    <row r="55" spans="11:66" x14ac:dyDescent="0.4">
      <c r="K55" s="21">
        <v>540</v>
      </c>
      <c r="L55" s="21">
        <f t="shared" si="1"/>
        <v>658800</v>
      </c>
      <c r="M55" s="66">
        <f t="shared" si="2"/>
        <v>1.4616775567709084</v>
      </c>
      <c r="N55" s="21"/>
      <c r="O55" s="21"/>
      <c r="P55" s="21"/>
      <c r="Q55" s="21"/>
      <c r="R55" s="21"/>
      <c r="S55" s="21"/>
      <c r="T55" s="21"/>
      <c r="U55" s="21"/>
      <c r="V55" s="21"/>
      <c r="W55" s="21"/>
      <c r="X55" s="21"/>
      <c r="Y55" s="21"/>
      <c r="Z55" s="21"/>
      <c r="AA55" s="21"/>
      <c r="AB55" s="21"/>
      <c r="AC55" s="66">
        <f t="shared" si="4"/>
        <v>-3.7353768362141243E-2</v>
      </c>
      <c r="AD55" s="66">
        <f t="shared" si="4"/>
        <v>-9.1631238469124479E-2</v>
      </c>
      <c r="AE55" s="66">
        <f t="shared" si="4"/>
        <v>-7.987726321745707E-2</v>
      </c>
      <c r="AF55" s="66">
        <f t="shared" si="4"/>
        <v>-0.16490892417715086</v>
      </c>
      <c r="AG55" s="66">
        <f t="shared" si="4"/>
        <v>-0.26436260802522404</v>
      </c>
      <c r="AH55" s="66">
        <f t="shared" si="4"/>
        <v>-0.1974537602785795</v>
      </c>
      <c r="AI55" s="66">
        <f t="shared" si="4"/>
        <v>-0.24799545515197341</v>
      </c>
      <c r="AJ55" s="66">
        <f t="shared" si="4"/>
        <v>-0.19723917472827321</v>
      </c>
      <c r="AK55" s="66">
        <f t="shared" si="4"/>
        <v>-0.11689671754501579</v>
      </c>
      <c r="AL55" s="66">
        <f t="shared" si="4"/>
        <v>-8.5767365988490635E-2</v>
      </c>
      <c r="AM55" s="66">
        <f t="shared" si="4"/>
        <v>-8.9273410046165458E-2</v>
      </c>
      <c r="AN55" s="66">
        <f t="shared" si="4"/>
        <v>-5.1212035236559643E-2</v>
      </c>
      <c r="AO55" s="21"/>
      <c r="AP55" s="21">
        <v>77.761899999999997</v>
      </c>
      <c r="AQ55" s="21">
        <v>84.772400000000005</v>
      </c>
      <c r="AR55" s="21">
        <v>82.355099999999993</v>
      </c>
      <c r="AS55" s="21">
        <v>75.788499999999999</v>
      </c>
      <c r="AT55" s="21">
        <v>69.520799999999994</v>
      </c>
      <c r="AU55" s="21">
        <v>49.508299999999998</v>
      </c>
      <c r="AV55" s="21">
        <v>49.462600000000002</v>
      </c>
      <c r="AW55" s="21">
        <v>41.668700000000001</v>
      </c>
      <c r="AX55" s="21">
        <v>112.294</v>
      </c>
      <c r="AY55" s="21">
        <v>110.345</v>
      </c>
      <c r="AZ55" s="21">
        <v>116.104</v>
      </c>
      <c r="BA55" s="21">
        <v>72.254499999999993</v>
      </c>
      <c r="BB55" s="21"/>
      <c r="BC55" s="21">
        <v>74.857200000000006</v>
      </c>
      <c r="BD55" s="21">
        <v>77.004599999999996</v>
      </c>
      <c r="BE55" s="21">
        <v>75.776799999999994</v>
      </c>
      <c r="BF55" s="21">
        <v>63.290300000000002</v>
      </c>
      <c r="BG55" s="21">
        <v>51.142099999999999</v>
      </c>
      <c r="BH55" s="21">
        <v>39.732700000000001</v>
      </c>
      <c r="BI55" s="21">
        <v>37.196100000000001</v>
      </c>
      <c r="BJ55" s="21">
        <v>33.450000000000003</v>
      </c>
      <c r="BK55" s="21">
        <v>99.167199999999994</v>
      </c>
      <c r="BL55" s="21">
        <v>100.881</v>
      </c>
      <c r="BM55" s="21">
        <v>105.739</v>
      </c>
      <c r="BN55" s="21">
        <v>68.554199999999994</v>
      </c>
    </row>
    <row r="56" spans="11:66" x14ac:dyDescent="0.4">
      <c r="K56" s="21">
        <v>550</v>
      </c>
      <c r="L56" s="21">
        <f t="shared" si="1"/>
        <v>671000</v>
      </c>
      <c r="M56" s="66">
        <f t="shared" si="2"/>
        <v>1.4887456596740734</v>
      </c>
      <c r="N56" s="21"/>
      <c r="O56" s="21"/>
      <c r="P56" s="21"/>
      <c r="Q56" s="21"/>
      <c r="R56" s="21"/>
      <c r="S56" s="21"/>
      <c r="T56" s="21"/>
      <c r="U56" s="21"/>
      <c r="V56" s="21"/>
      <c r="W56" s="21"/>
      <c r="X56" s="21"/>
      <c r="Y56" s="21"/>
      <c r="Z56" s="21"/>
      <c r="AA56" s="21"/>
      <c r="AB56" s="21"/>
      <c r="AC56" s="66">
        <f t="shared" si="4"/>
        <v>-3.7353768362141243E-2</v>
      </c>
      <c r="AD56" s="66">
        <f t="shared" si="4"/>
        <v>-9.1631238469124479E-2</v>
      </c>
      <c r="AE56" s="66">
        <f t="shared" si="4"/>
        <v>-8.0381178579104373E-2</v>
      </c>
      <c r="AF56" s="66">
        <f t="shared" si="4"/>
        <v>-0.16490892417715086</v>
      </c>
      <c r="AG56" s="66">
        <f t="shared" si="4"/>
        <v>-0.26436260802522404</v>
      </c>
      <c r="AH56" s="66">
        <f t="shared" si="4"/>
        <v>-0.1974537602785795</v>
      </c>
      <c r="AI56" s="66">
        <f t="shared" si="4"/>
        <v>-0.24799545515197341</v>
      </c>
      <c r="AJ56" s="66">
        <f t="shared" si="4"/>
        <v>-0.19844151605401653</v>
      </c>
      <c r="AK56" s="66">
        <f t="shared" si="4"/>
        <v>-0.11689671754501579</v>
      </c>
      <c r="AL56" s="66">
        <f t="shared" si="4"/>
        <v>-8.5767365988490635E-2</v>
      </c>
      <c r="AM56" s="66">
        <f t="shared" si="4"/>
        <v>-8.9273410046165458E-2</v>
      </c>
      <c r="AN56" s="66">
        <f t="shared" si="4"/>
        <v>-5.1212035236559643E-2</v>
      </c>
      <c r="AO56" s="21"/>
      <c r="AP56" s="21">
        <v>77.761899999999997</v>
      </c>
      <c r="AQ56" s="21">
        <v>84.772400000000005</v>
      </c>
      <c r="AR56" s="21">
        <v>82.355099999999993</v>
      </c>
      <c r="AS56" s="21">
        <v>75.788499999999999</v>
      </c>
      <c r="AT56" s="21">
        <v>69.520799999999994</v>
      </c>
      <c r="AU56" s="21">
        <v>49.508299999999998</v>
      </c>
      <c r="AV56" s="21">
        <v>49.462600000000002</v>
      </c>
      <c r="AW56" s="21">
        <v>41.668700000000001</v>
      </c>
      <c r="AX56" s="21">
        <v>112.294</v>
      </c>
      <c r="AY56" s="21">
        <v>110.345</v>
      </c>
      <c r="AZ56" s="21">
        <v>116.104</v>
      </c>
      <c r="BA56" s="21">
        <v>72.254499999999993</v>
      </c>
      <c r="BB56" s="21"/>
      <c r="BC56" s="21">
        <v>74.857200000000006</v>
      </c>
      <c r="BD56" s="21">
        <v>77.004599999999996</v>
      </c>
      <c r="BE56" s="21">
        <v>75.735299999999995</v>
      </c>
      <c r="BF56" s="21">
        <v>63.290300000000002</v>
      </c>
      <c r="BG56" s="21">
        <v>51.142099999999999</v>
      </c>
      <c r="BH56" s="21">
        <v>39.732700000000001</v>
      </c>
      <c r="BI56" s="21">
        <v>37.196100000000001</v>
      </c>
      <c r="BJ56" s="21">
        <v>33.399900000000002</v>
      </c>
      <c r="BK56" s="21">
        <v>99.167199999999994</v>
      </c>
      <c r="BL56" s="21">
        <v>100.881</v>
      </c>
      <c r="BM56" s="21">
        <v>105.739</v>
      </c>
      <c r="BN56" s="21">
        <v>68.554199999999994</v>
      </c>
    </row>
    <row r="57" spans="11:66" x14ac:dyDescent="0.4">
      <c r="K57" s="21">
        <v>560</v>
      </c>
      <c r="L57" s="21">
        <f t="shared" si="1"/>
        <v>683200</v>
      </c>
      <c r="M57" s="66">
        <f t="shared" si="2"/>
        <v>1.5158137625772383</v>
      </c>
      <c r="N57" s="21"/>
      <c r="O57" s="21"/>
      <c r="P57" s="21"/>
      <c r="Q57" s="21"/>
      <c r="R57" s="21"/>
      <c r="S57" s="21"/>
      <c r="T57" s="21"/>
      <c r="U57" s="21"/>
      <c r="V57" s="21"/>
      <c r="W57" s="21"/>
      <c r="X57" s="21"/>
      <c r="Y57" s="21"/>
      <c r="Z57" s="21"/>
      <c r="AA57" s="21"/>
      <c r="AB57" s="21"/>
      <c r="AC57" s="66">
        <f t="shared" si="4"/>
        <v>-3.7353768362141243E-2</v>
      </c>
      <c r="AD57" s="66">
        <f t="shared" si="4"/>
        <v>-9.1631238469124479E-2</v>
      </c>
      <c r="AE57" s="66">
        <f t="shared" si="4"/>
        <v>-8.088630819463502E-2</v>
      </c>
      <c r="AF57" s="66">
        <f t="shared" si="4"/>
        <v>-0.16490892417715086</v>
      </c>
      <c r="AG57" s="66">
        <f t="shared" si="4"/>
        <v>-0.26436260802522404</v>
      </c>
      <c r="AH57" s="66">
        <f t="shared" si="4"/>
        <v>-0.1974537602785795</v>
      </c>
      <c r="AI57" s="66">
        <f t="shared" si="4"/>
        <v>-0.24799545515197341</v>
      </c>
      <c r="AJ57" s="66">
        <f t="shared" si="4"/>
        <v>-0.19964145749687423</v>
      </c>
      <c r="AK57" s="66">
        <f t="shared" si="4"/>
        <v>-0.11689671754501579</v>
      </c>
      <c r="AL57" s="66">
        <f t="shared" si="4"/>
        <v>-8.5767365988490635E-2</v>
      </c>
      <c r="AM57" s="66">
        <f t="shared" si="4"/>
        <v>-8.9273410046165458E-2</v>
      </c>
      <c r="AN57" s="66">
        <f t="shared" si="4"/>
        <v>-5.1212035236559643E-2</v>
      </c>
      <c r="AO57" s="21"/>
      <c r="AP57" s="21">
        <v>77.761899999999997</v>
      </c>
      <c r="AQ57" s="21">
        <v>84.772400000000005</v>
      </c>
      <c r="AR57" s="21">
        <v>82.355099999999993</v>
      </c>
      <c r="AS57" s="21">
        <v>75.788499999999999</v>
      </c>
      <c r="AT57" s="21">
        <v>69.520799999999994</v>
      </c>
      <c r="AU57" s="21">
        <v>49.508299999999998</v>
      </c>
      <c r="AV57" s="21">
        <v>49.462600000000002</v>
      </c>
      <c r="AW57" s="21">
        <v>41.668700000000001</v>
      </c>
      <c r="AX57" s="21">
        <v>112.294</v>
      </c>
      <c r="AY57" s="21">
        <v>110.345</v>
      </c>
      <c r="AZ57" s="21">
        <v>116.104</v>
      </c>
      <c r="BA57" s="21">
        <v>72.254499999999993</v>
      </c>
      <c r="BB57" s="21"/>
      <c r="BC57" s="21">
        <v>74.857200000000006</v>
      </c>
      <c r="BD57" s="21">
        <v>77.004599999999996</v>
      </c>
      <c r="BE57" s="21">
        <v>75.693700000000007</v>
      </c>
      <c r="BF57" s="21">
        <v>63.290300000000002</v>
      </c>
      <c r="BG57" s="21">
        <v>51.142099999999999</v>
      </c>
      <c r="BH57" s="21">
        <v>39.732700000000001</v>
      </c>
      <c r="BI57" s="21">
        <v>37.196100000000001</v>
      </c>
      <c r="BJ57" s="21">
        <v>33.349899999999998</v>
      </c>
      <c r="BK57" s="21">
        <v>99.167199999999994</v>
      </c>
      <c r="BL57" s="21">
        <v>100.881</v>
      </c>
      <c r="BM57" s="21">
        <v>105.739</v>
      </c>
      <c r="BN57" s="21">
        <v>68.554199999999994</v>
      </c>
    </row>
    <row r="58" spans="11:66" x14ac:dyDescent="0.4">
      <c r="K58" s="21">
        <v>570</v>
      </c>
      <c r="L58" s="21">
        <f t="shared" si="1"/>
        <v>695400</v>
      </c>
      <c r="M58" s="66">
        <f t="shared" si="2"/>
        <v>1.5428818654804033</v>
      </c>
      <c r="N58" s="21"/>
      <c r="O58" s="21"/>
      <c r="P58" s="21"/>
      <c r="Q58" s="21"/>
      <c r="R58" s="21"/>
      <c r="S58" s="21"/>
      <c r="T58" s="21"/>
      <c r="U58" s="21"/>
      <c r="V58" s="21"/>
      <c r="W58" s="21"/>
      <c r="X58" s="21"/>
      <c r="Y58" s="21"/>
      <c r="Z58" s="21"/>
      <c r="AA58" s="21"/>
      <c r="AB58" s="21"/>
      <c r="AC58" s="66">
        <f t="shared" si="4"/>
        <v>-3.7353768362141243E-2</v>
      </c>
      <c r="AD58" s="66">
        <f t="shared" si="4"/>
        <v>-9.1631238469124479E-2</v>
      </c>
      <c r="AE58" s="66">
        <f t="shared" si="4"/>
        <v>-8.1391437810165848E-2</v>
      </c>
      <c r="AF58" s="66">
        <f t="shared" si="4"/>
        <v>-0.16490892417715086</v>
      </c>
      <c r="AG58" s="66">
        <f t="shared" si="4"/>
        <v>-0.26436260802522404</v>
      </c>
      <c r="AH58" s="66">
        <f t="shared" si="4"/>
        <v>-0.1974537602785795</v>
      </c>
      <c r="AI58" s="66">
        <f t="shared" si="4"/>
        <v>-0.24799545515197341</v>
      </c>
      <c r="AJ58" s="66">
        <f t="shared" si="4"/>
        <v>-0.20084379882261755</v>
      </c>
      <c r="AK58" s="66">
        <f t="shared" si="4"/>
        <v>-0.11689671754501579</v>
      </c>
      <c r="AL58" s="66">
        <f t="shared" si="4"/>
        <v>-8.5767365988490635E-2</v>
      </c>
      <c r="AM58" s="66">
        <f t="shared" si="4"/>
        <v>-8.9273410046165458E-2</v>
      </c>
      <c r="AN58" s="66">
        <f t="shared" si="4"/>
        <v>-5.1212035236559643E-2</v>
      </c>
      <c r="AO58" s="21"/>
      <c r="AP58" s="21">
        <v>77.761899999999997</v>
      </c>
      <c r="AQ58" s="21">
        <v>84.772400000000005</v>
      </c>
      <c r="AR58" s="21">
        <v>82.355099999999993</v>
      </c>
      <c r="AS58" s="21">
        <v>75.788499999999999</v>
      </c>
      <c r="AT58" s="21">
        <v>69.520799999999994</v>
      </c>
      <c r="AU58" s="21">
        <v>49.508299999999998</v>
      </c>
      <c r="AV58" s="21">
        <v>49.462600000000002</v>
      </c>
      <c r="AW58" s="21">
        <v>41.668700000000001</v>
      </c>
      <c r="AX58" s="21">
        <v>112.294</v>
      </c>
      <c r="AY58" s="21">
        <v>110.345</v>
      </c>
      <c r="AZ58" s="21">
        <v>116.104</v>
      </c>
      <c r="BA58" s="21">
        <v>72.254499999999993</v>
      </c>
      <c r="BB58" s="21"/>
      <c r="BC58" s="21">
        <v>74.857200000000006</v>
      </c>
      <c r="BD58" s="21">
        <v>77.004599999999996</v>
      </c>
      <c r="BE58" s="21">
        <v>75.652100000000004</v>
      </c>
      <c r="BF58" s="21">
        <v>63.290300000000002</v>
      </c>
      <c r="BG58" s="21">
        <v>51.142099999999999</v>
      </c>
      <c r="BH58" s="21">
        <v>39.732700000000001</v>
      </c>
      <c r="BI58" s="21">
        <v>37.196100000000001</v>
      </c>
      <c r="BJ58" s="21">
        <v>33.299799999999998</v>
      </c>
      <c r="BK58" s="21">
        <v>99.167199999999994</v>
      </c>
      <c r="BL58" s="21">
        <v>100.881</v>
      </c>
      <c r="BM58" s="21">
        <v>105.739</v>
      </c>
      <c r="BN58" s="21">
        <v>68.554199999999994</v>
      </c>
    </row>
    <row r="59" spans="11:66" x14ac:dyDescent="0.4">
      <c r="K59" s="21">
        <v>580</v>
      </c>
      <c r="L59" s="21">
        <f t="shared" si="1"/>
        <v>707600</v>
      </c>
      <c r="M59" s="66">
        <f t="shared" si="2"/>
        <v>1.5699499683835683</v>
      </c>
      <c r="N59" s="21"/>
      <c r="O59" s="21"/>
      <c r="P59" s="21"/>
      <c r="Q59" s="21"/>
      <c r="R59" s="21"/>
      <c r="S59" s="21"/>
      <c r="T59" s="21"/>
      <c r="U59" s="21"/>
      <c r="V59" s="21"/>
      <c r="W59" s="21"/>
      <c r="X59" s="21"/>
      <c r="Y59" s="21"/>
      <c r="Z59" s="21"/>
      <c r="AA59" s="21"/>
      <c r="AB59" s="21"/>
      <c r="AC59" s="66">
        <f t="shared" si="4"/>
        <v>-3.7353768362141243E-2</v>
      </c>
      <c r="AD59" s="66">
        <f t="shared" si="4"/>
        <v>-9.1631238469124479E-2</v>
      </c>
      <c r="AE59" s="66">
        <f t="shared" si="4"/>
        <v>-8.1896567425696676E-2</v>
      </c>
      <c r="AF59" s="66">
        <f t="shared" ref="AF59:AN87" si="5">(BF59-AS59)/AS59</f>
        <v>-0.16490892417715086</v>
      </c>
      <c r="AG59" s="66">
        <f t="shared" si="5"/>
        <v>-0.26436260802522404</v>
      </c>
      <c r="AH59" s="66">
        <f t="shared" si="5"/>
        <v>-0.1974537602785795</v>
      </c>
      <c r="AI59" s="66">
        <f t="shared" si="5"/>
        <v>-0.24799545515197341</v>
      </c>
      <c r="AJ59" s="66">
        <f t="shared" si="5"/>
        <v>-0.20204374026547506</v>
      </c>
      <c r="AK59" s="66">
        <f t="shared" si="5"/>
        <v>-0.11689671754501579</v>
      </c>
      <c r="AL59" s="66">
        <f t="shared" si="5"/>
        <v>-8.5767365988490635E-2</v>
      </c>
      <c r="AM59" s="66">
        <f t="shared" si="5"/>
        <v>-8.9273410046165458E-2</v>
      </c>
      <c r="AN59" s="66">
        <f t="shared" si="5"/>
        <v>-5.1212035236559643E-2</v>
      </c>
      <c r="AO59" s="21"/>
      <c r="AP59" s="21">
        <v>77.761899999999997</v>
      </c>
      <c r="AQ59" s="21">
        <v>84.772400000000005</v>
      </c>
      <c r="AR59" s="21">
        <v>82.355099999999993</v>
      </c>
      <c r="AS59" s="21">
        <v>75.788499999999999</v>
      </c>
      <c r="AT59" s="21">
        <v>69.520799999999994</v>
      </c>
      <c r="AU59" s="21">
        <v>49.508299999999998</v>
      </c>
      <c r="AV59" s="21">
        <v>49.462600000000002</v>
      </c>
      <c r="AW59" s="21">
        <v>41.668700000000001</v>
      </c>
      <c r="AX59" s="21">
        <v>112.294</v>
      </c>
      <c r="AY59" s="21">
        <v>110.345</v>
      </c>
      <c r="AZ59" s="21">
        <v>116.104</v>
      </c>
      <c r="BA59" s="21">
        <v>72.254499999999993</v>
      </c>
      <c r="BB59" s="21"/>
      <c r="BC59" s="21">
        <v>74.857200000000006</v>
      </c>
      <c r="BD59" s="21">
        <v>77.004599999999996</v>
      </c>
      <c r="BE59" s="21">
        <v>75.610500000000002</v>
      </c>
      <c r="BF59" s="21">
        <v>63.290300000000002</v>
      </c>
      <c r="BG59" s="21">
        <v>51.142099999999999</v>
      </c>
      <c r="BH59" s="21">
        <v>39.732700000000001</v>
      </c>
      <c r="BI59" s="21">
        <v>37.196100000000001</v>
      </c>
      <c r="BJ59" s="21">
        <v>33.2498</v>
      </c>
      <c r="BK59" s="21">
        <v>99.167199999999994</v>
      </c>
      <c r="BL59" s="21">
        <v>100.881</v>
      </c>
      <c r="BM59" s="21">
        <v>105.739</v>
      </c>
      <c r="BN59" s="21">
        <v>68.554199999999994</v>
      </c>
    </row>
    <row r="60" spans="11:66" x14ac:dyDescent="0.4">
      <c r="K60" s="21">
        <v>590</v>
      </c>
      <c r="L60" s="21">
        <f t="shared" si="1"/>
        <v>719800</v>
      </c>
      <c r="M60" s="66">
        <f t="shared" si="2"/>
        <v>1.5970180712867332</v>
      </c>
      <c r="N60" s="21"/>
      <c r="O60" s="21"/>
      <c r="P60" s="21"/>
      <c r="Q60" s="21"/>
      <c r="R60" s="21"/>
      <c r="S60" s="21"/>
      <c r="T60" s="21"/>
      <c r="U60" s="21"/>
      <c r="V60" s="21"/>
      <c r="W60" s="21"/>
      <c r="X60" s="21"/>
      <c r="Y60" s="21"/>
      <c r="Z60" s="21"/>
      <c r="AA60" s="21"/>
      <c r="AB60" s="21"/>
      <c r="AC60" s="66">
        <f t="shared" ref="AC60:AH101" si="6">(BC60-AP60)/AP60</f>
        <v>-3.7353768362141243E-2</v>
      </c>
      <c r="AD60" s="66">
        <f t="shared" si="6"/>
        <v>-9.1631238469124479E-2</v>
      </c>
      <c r="AE60" s="66">
        <f t="shared" si="6"/>
        <v>-8.240169704122749E-2</v>
      </c>
      <c r="AF60" s="66">
        <f t="shared" si="5"/>
        <v>-0.16490892417715086</v>
      </c>
      <c r="AG60" s="66">
        <f t="shared" si="5"/>
        <v>-0.26436260802522404</v>
      </c>
      <c r="AH60" s="66">
        <f t="shared" si="5"/>
        <v>-0.1974537602785795</v>
      </c>
      <c r="AI60" s="66">
        <f t="shared" si="5"/>
        <v>-0.24799545515197341</v>
      </c>
      <c r="AJ60" s="66">
        <f t="shared" si="5"/>
        <v>-0.20324608159121837</v>
      </c>
      <c r="AK60" s="66">
        <f t="shared" si="5"/>
        <v>-0.11689671754501579</v>
      </c>
      <c r="AL60" s="66">
        <f t="shared" si="5"/>
        <v>-8.5767365988490635E-2</v>
      </c>
      <c r="AM60" s="66">
        <f t="shared" si="5"/>
        <v>-8.9273410046165458E-2</v>
      </c>
      <c r="AN60" s="66">
        <f t="shared" si="5"/>
        <v>-5.1212035236559643E-2</v>
      </c>
      <c r="AO60" s="21"/>
      <c r="AP60" s="21">
        <v>77.761899999999997</v>
      </c>
      <c r="AQ60" s="21">
        <v>84.772400000000005</v>
      </c>
      <c r="AR60" s="21">
        <v>82.355099999999993</v>
      </c>
      <c r="AS60" s="21">
        <v>75.788499999999999</v>
      </c>
      <c r="AT60" s="21">
        <v>69.520799999999994</v>
      </c>
      <c r="AU60" s="21">
        <v>49.508299999999998</v>
      </c>
      <c r="AV60" s="21">
        <v>49.462600000000002</v>
      </c>
      <c r="AW60" s="21">
        <v>41.668700000000001</v>
      </c>
      <c r="AX60" s="21">
        <v>112.294</v>
      </c>
      <c r="AY60" s="21">
        <v>110.345</v>
      </c>
      <c r="AZ60" s="21">
        <v>116.104</v>
      </c>
      <c r="BA60" s="21">
        <v>72.254499999999993</v>
      </c>
      <c r="BB60" s="21"/>
      <c r="BC60" s="21">
        <v>74.857200000000006</v>
      </c>
      <c r="BD60" s="21">
        <v>77.004599999999996</v>
      </c>
      <c r="BE60" s="21">
        <v>75.568899999999999</v>
      </c>
      <c r="BF60" s="21">
        <v>63.290300000000002</v>
      </c>
      <c r="BG60" s="21">
        <v>51.142099999999999</v>
      </c>
      <c r="BH60" s="21">
        <v>39.732700000000001</v>
      </c>
      <c r="BI60" s="21">
        <v>37.196100000000001</v>
      </c>
      <c r="BJ60" s="21">
        <v>33.1997</v>
      </c>
      <c r="BK60" s="21">
        <v>99.167199999999994</v>
      </c>
      <c r="BL60" s="21">
        <v>100.881</v>
      </c>
      <c r="BM60" s="21">
        <v>105.739</v>
      </c>
      <c r="BN60" s="21">
        <v>68.554199999999994</v>
      </c>
    </row>
    <row r="61" spans="11:66" x14ac:dyDescent="0.4">
      <c r="K61" s="21">
        <v>600</v>
      </c>
      <c r="L61" s="21">
        <f t="shared" si="1"/>
        <v>732000</v>
      </c>
      <c r="M61" s="66">
        <f t="shared" si="2"/>
        <v>1.6240861741898982</v>
      </c>
      <c r="N61" s="21"/>
      <c r="O61" s="21"/>
      <c r="P61" s="21"/>
      <c r="Q61" s="21"/>
      <c r="R61" s="21"/>
      <c r="S61" s="21"/>
      <c r="T61" s="21"/>
      <c r="U61" s="21"/>
      <c r="V61" s="21"/>
      <c r="W61" s="21"/>
      <c r="X61" s="21"/>
      <c r="Y61" s="21"/>
      <c r="Z61" s="21"/>
      <c r="AA61" s="21"/>
      <c r="AB61" s="21"/>
      <c r="AC61" s="66">
        <f t="shared" si="6"/>
        <v>-3.7353768362141243E-2</v>
      </c>
      <c r="AD61" s="66">
        <f t="shared" si="6"/>
        <v>-9.1631238469124479E-2</v>
      </c>
      <c r="AE61" s="66">
        <f t="shared" si="6"/>
        <v>-8.2905612402874793E-2</v>
      </c>
      <c r="AF61" s="66">
        <f t="shared" si="5"/>
        <v>-0.16490892417715086</v>
      </c>
      <c r="AG61" s="66">
        <f t="shared" si="5"/>
        <v>-0.26436260802522404</v>
      </c>
      <c r="AH61" s="66">
        <f t="shared" si="5"/>
        <v>-0.1974537602785795</v>
      </c>
      <c r="AI61" s="66">
        <f t="shared" si="5"/>
        <v>-0.24799545515197341</v>
      </c>
      <c r="AJ61" s="66">
        <f t="shared" si="5"/>
        <v>-0.20444602303407589</v>
      </c>
      <c r="AK61" s="66">
        <f t="shared" si="5"/>
        <v>-0.11689671754501579</v>
      </c>
      <c r="AL61" s="66">
        <f t="shared" si="5"/>
        <v>-8.5767365988490635E-2</v>
      </c>
      <c r="AM61" s="66">
        <f t="shared" si="5"/>
        <v>-8.9273410046165458E-2</v>
      </c>
      <c r="AN61" s="66">
        <f t="shared" si="5"/>
        <v>-5.1212035236559643E-2</v>
      </c>
      <c r="AO61" s="21"/>
      <c r="AP61" s="21">
        <v>77.761899999999997</v>
      </c>
      <c r="AQ61" s="21">
        <v>84.772400000000005</v>
      </c>
      <c r="AR61" s="21">
        <v>82.355099999999993</v>
      </c>
      <c r="AS61" s="21">
        <v>75.788499999999999</v>
      </c>
      <c r="AT61" s="21">
        <v>69.520799999999994</v>
      </c>
      <c r="AU61" s="21">
        <v>49.508299999999998</v>
      </c>
      <c r="AV61" s="21">
        <v>49.462600000000002</v>
      </c>
      <c r="AW61" s="21">
        <v>41.668700000000001</v>
      </c>
      <c r="AX61" s="21">
        <v>112.294</v>
      </c>
      <c r="AY61" s="21">
        <v>110.345</v>
      </c>
      <c r="AZ61" s="21">
        <v>116.104</v>
      </c>
      <c r="BA61" s="21">
        <v>72.254499999999993</v>
      </c>
      <c r="BB61" s="21"/>
      <c r="BC61" s="21">
        <v>74.857200000000006</v>
      </c>
      <c r="BD61" s="21">
        <v>77.004599999999996</v>
      </c>
      <c r="BE61" s="21">
        <v>75.5274</v>
      </c>
      <c r="BF61" s="21">
        <v>63.290300000000002</v>
      </c>
      <c r="BG61" s="21">
        <v>51.142099999999999</v>
      </c>
      <c r="BH61" s="21">
        <v>39.732700000000001</v>
      </c>
      <c r="BI61" s="21">
        <v>37.196100000000001</v>
      </c>
      <c r="BJ61" s="21">
        <v>33.149700000000003</v>
      </c>
      <c r="BK61" s="21">
        <v>99.167199999999994</v>
      </c>
      <c r="BL61" s="21">
        <v>100.881</v>
      </c>
      <c r="BM61" s="21">
        <v>105.739</v>
      </c>
      <c r="BN61" s="21">
        <v>68.554199999999994</v>
      </c>
    </row>
    <row r="62" spans="11:66" x14ac:dyDescent="0.4">
      <c r="K62" s="21">
        <v>610</v>
      </c>
      <c r="L62" s="21">
        <f t="shared" si="1"/>
        <v>744200</v>
      </c>
      <c r="M62" s="66">
        <f t="shared" si="2"/>
        <v>1.6511542770930632</v>
      </c>
      <c r="N62" s="21"/>
      <c r="O62" s="21"/>
      <c r="P62" s="21"/>
      <c r="Q62" s="21"/>
      <c r="R62" s="21"/>
      <c r="S62" s="21"/>
      <c r="T62" s="21"/>
      <c r="U62" s="21"/>
      <c r="V62" s="21"/>
      <c r="W62" s="21"/>
      <c r="X62" s="21"/>
      <c r="Y62" s="21"/>
      <c r="Z62" s="21"/>
      <c r="AA62" s="21"/>
      <c r="AB62" s="21"/>
      <c r="AC62" s="66">
        <f t="shared" si="6"/>
        <v>-3.7353768362141243E-2</v>
      </c>
      <c r="AD62" s="66">
        <f t="shared" si="6"/>
        <v>-9.1631238469124479E-2</v>
      </c>
      <c r="AE62" s="66">
        <f t="shared" si="6"/>
        <v>-8.3410742018405606E-2</v>
      </c>
      <c r="AF62" s="66">
        <f t="shared" si="5"/>
        <v>-0.16490892417715086</v>
      </c>
      <c r="AG62" s="66">
        <f t="shared" si="5"/>
        <v>-0.26436260802522404</v>
      </c>
      <c r="AH62" s="66">
        <f t="shared" si="5"/>
        <v>-0.1974537602785795</v>
      </c>
      <c r="AI62" s="66">
        <f t="shared" si="5"/>
        <v>-0.24799545515197341</v>
      </c>
      <c r="AJ62" s="66">
        <f t="shared" si="5"/>
        <v>-0.20564596447693359</v>
      </c>
      <c r="AK62" s="66">
        <f t="shared" si="5"/>
        <v>-0.11689671754501579</v>
      </c>
      <c r="AL62" s="66">
        <f t="shared" si="5"/>
        <v>-8.5767365988490635E-2</v>
      </c>
      <c r="AM62" s="66">
        <f t="shared" si="5"/>
        <v>-8.9273410046165458E-2</v>
      </c>
      <c r="AN62" s="66">
        <f t="shared" si="5"/>
        <v>-5.1212035236559643E-2</v>
      </c>
      <c r="AO62" s="21"/>
      <c r="AP62" s="21">
        <v>77.761899999999997</v>
      </c>
      <c r="AQ62" s="21">
        <v>84.772400000000005</v>
      </c>
      <c r="AR62" s="21">
        <v>82.355099999999993</v>
      </c>
      <c r="AS62" s="21">
        <v>75.788499999999999</v>
      </c>
      <c r="AT62" s="21">
        <v>69.520799999999994</v>
      </c>
      <c r="AU62" s="21">
        <v>49.508299999999998</v>
      </c>
      <c r="AV62" s="21">
        <v>49.462600000000002</v>
      </c>
      <c r="AW62" s="21">
        <v>41.668700000000001</v>
      </c>
      <c r="AX62" s="21">
        <v>112.294</v>
      </c>
      <c r="AY62" s="21">
        <v>110.345</v>
      </c>
      <c r="AZ62" s="21">
        <v>116.104</v>
      </c>
      <c r="BA62" s="21">
        <v>72.254499999999993</v>
      </c>
      <c r="BB62" s="21"/>
      <c r="BC62" s="21">
        <v>74.857200000000006</v>
      </c>
      <c r="BD62" s="21">
        <v>77.004599999999996</v>
      </c>
      <c r="BE62" s="21">
        <v>75.485799999999998</v>
      </c>
      <c r="BF62" s="21">
        <v>63.290300000000002</v>
      </c>
      <c r="BG62" s="21">
        <v>51.142099999999999</v>
      </c>
      <c r="BH62" s="21">
        <v>39.732700000000001</v>
      </c>
      <c r="BI62" s="21">
        <v>37.196100000000001</v>
      </c>
      <c r="BJ62" s="21">
        <v>33.099699999999999</v>
      </c>
      <c r="BK62" s="21">
        <v>99.167199999999994</v>
      </c>
      <c r="BL62" s="21">
        <v>100.881</v>
      </c>
      <c r="BM62" s="21">
        <v>105.739</v>
      </c>
      <c r="BN62" s="21">
        <v>68.554199999999994</v>
      </c>
    </row>
    <row r="63" spans="11:66" x14ac:dyDescent="0.4">
      <c r="K63" s="21">
        <v>620</v>
      </c>
      <c r="L63" s="21">
        <f t="shared" si="1"/>
        <v>756400</v>
      </c>
      <c r="M63" s="66">
        <f t="shared" si="2"/>
        <v>1.6782223799962281</v>
      </c>
      <c r="N63" s="21"/>
      <c r="O63" s="21"/>
      <c r="P63" s="21"/>
      <c r="Q63" s="21"/>
      <c r="R63" s="21"/>
      <c r="S63" s="21"/>
      <c r="T63" s="21"/>
      <c r="U63" s="21"/>
      <c r="V63" s="21"/>
      <c r="W63" s="21"/>
      <c r="X63" s="21"/>
      <c r="Y63" s="21"/>
      <c r="Z63" s="21"/>
      <c r="AA63" s="21"/>
      <c r="AB63" s="21"/>
      <c r="AC63" s="66">
        <f t="shared" si="6"/>
        <v>-3.7353768362141243E-2</v>
      </c>
      <c r="AD63" s="66">
        <f t="shared" si="6"/>
        <v>-9.1631238469124479E-2</v>
      </c>
      <c r="AE63" s="66">
        <f t="shared" si="6"/>
        <v>-8.3915871633936434E-2</v>
      </c>
      <c r="AF63" s="66">
        <f t="shared" si="5"/>
        <v>-0.16490892417715086</v>
      </c>
      <c r="AG63" s="66">
        <f t="shared" si="5"/>
        <v>-0.26436260802522404</v>
      </c>
      <c r="AH63" s="66">
        <f t="shared" si="5"/>
        <v>-0.1974537602785795</v>
      </c>
      <c r="AI63" s="66">
        <f t="shared" si="5"/>
        <v>-0.24799545515197341</v>
      </c>
      <c r="AJ63" s="66">
        <f t="shared" si="5"/>
        <v>-0.20684830580267691</v>
      </c>
      <c r="AK63" s="66">
        <f t="shared" si="5"/>
        <v>-0.11689671754501579</v>
      </c>
      <c r="AL63" s="66">
        <f t="shared" si="5"/>
        <v>-8.5767365988490635E-2</v>
      </c>
      <c r="AM63" s="66">
        <f t="shared" si="5"/>
        <v>-8.9273410046165458E-2</v>
      </c>
      <c r="AN63" s="66">
        <f t="shared" si="5"/>
        <v>-5.1212035236559643E-2</v>
      </c>
      <c r="AO63" s="21"/>
      <c r="AP63" s="21">
        <v>77.761899999999997</v>
      </c>
      <c r="AQ63" s="21">
        <v>84.772400000000005</v>
      </c>
      <c r="AR63" s="21">
        <v>82.355099999999993</v>
      </c>
      <c r="AS63" s="21">
        <v>75.788499999999999</v>
      </c>
      <c r="AT63" s="21">
        <v>69.520799999999994</v>
      </c>
      <c r="AU63" s="21">
        <v>49.508299999999998</v>
      </c>
      <c r="AV63" s="21">
        <v>49.462600000000002</v>
      </c>
      <c r="AW63" s="21">
        <v>41.668700000000001</v>
      </c>
      <c r="AX63" s="21">
        <v>112.294</v>
      </c>
      <c r="AY63" s="21">
        <v>110.345</v>
      </c>
      <c r="AZ63" s="21">
        <v>116.104</v>
      </c>
      <c r="BA63" s="21">
        <v>72.254499999999993</v>
      </c>
      <c r="BB63" s="21"/>
      <c r="BC63" s="21">
        <v>74.857200000000006</v>
      </c>
      <c r="BD63" s="21">
        <v>77.004599999999996</v>
      </c>
      <c r="BE63" s="21">
        <v>75.444199999999995</v>
      </c>
      <c r="BF63" s="21">
        <v>63.290300000000002</v>
      </c>
      <c r="BG63" s="21">
        <v>51.142099999999999</v>
      </c>
      <c r="BH63" s="21">
        <v>39.732700000000001</v>
      </c>
      <c r="BI63" s="21">
        <v>37.196100000000001</v>
      </c>
      <c r="BJ63" s="21">
        <v>33.049599999999998</v>
      </c>
      <c r="BK63" s="21">
        <v>99.167199999999994</v>
      </c>
      <c r="BL63" s="21">
        <v>100.881</v>
      </c>
      <c r="BM63" s="21">
        <v>105.739</v>
      </c>
      <c r="BN63" s="21">
        <v>68.554199999999994</v>
      </c>
    </row>
    <row r="64" spans="11:66" x14ac:dyDescent="0.4">
      <c r="K64" s="21">
        <v>630</v>
      </c>
      <c r="L64" s="21">
        <f t="shared" si="1"/>
        <v>768600</v>
      </c>
      <c r="M64" s="66">
        <f t="shared" si="2"/>
        <v>1.7052904828993931</v>
      </c>
      <c r="N64" s="21"/>
      <c r="O64" s="21"/>
      <c r="P64" s="21"/>
      <c r="Q64" s="21"/>
      <c r="R64" s="21"/>
      <c r="S64" s="21"/>
      <c r="T64" s="21"/>
      <c r="U64" s="21"/>
      <c r="V64" s="21"/>
      <c r="W64" s="21"/>
      <c r="X64" s="21"/>
      <c r="Y64" s="21"/>
      <c r="Z64" s="21"/>
      <c r="AA64" s="21"/>
      <c r="AB64" s="21"/>
      <c r="AC64" s="66">
        <f t="shared" si="6"/>
        <v>-3.7353768362141243E-2</v>
      </c>
      <c r="AD64" s="66">
        <f t="shared" si="6"/>
        <v>-9.1631238469124479E-2</v>
      </c>
      <c r="AE64" s="66">
        <f t="shared" si="6"/>
        <v>-8.4421001249467081E-2</v>
      </c>
      <c r="AF64" s="66">
        <f t="shared" si="5"/>
        <v>-0.16490892417715086</v>
      </c>
      <c r="AG64" s="66">
        <f t="shared" si="5"/>
        <v>-0.26436260802522404</v>
      </c>
      <c r="AH64" s="66">
        <f t="shared" si="5"/>
        <v>-0.1974537602785795</v>
      </c>
      <c r="AI64" s="66">
        <f t="shared" si="5"/>
        <v>-0.24799545515197341</v>
      </c>
      <c r="AJ64" s="66">
        <f t="shared" si="5"/>
        <v>-0.20804824724553442</v>
      </c>
      <c r="AK64" s="66">
        <f t="shared" si="5"/>
        <v>-0.11689671754501579</v>
      </c>
      <c r="AL64" s="66">
        <f t="shared" si="5"/>
        <v>-8.5767365988490635E-2</v>
      </c>
      <c r="AM64" s="66">
        <f t="shared" si="5"/>
        <v>-8.9273410046165458E-2</v>
      </c>
      <c r="AN64" s="66">
        <f t="shared" si="5"/>
        <v>-5.1212035236559643E-2</v>
      </c>
      <c r="AO64" s="21"/>
      <c r="AP64" s="21">
        <v>77.761899999999997</v>
      </c>
      <c r="AQ64" s="21">
        <v>84.772400000000005</v>
      </c>
      <c r="AR64" s="21">
        <v>82.355099999999993</v>
      </c>
      <c r="AS64" s="21">
        <v>75.788499999999999</v>
      </c>
      <c r="AT64" s="21">
        <v>69.520799999999994</v>
      </c>
      <c r="AU64" s="21">
        <v>49.508299999999998</v>
      </c>
      <c r="AV64" s="21">
        <v>49.462600000000002</v>
      </c>
      <c r="AW64" s="21">
        <v>41.668700000000001</v>
      </c>
      <c r="AX64" s="21">
        <v>112.294</v>
      </c>
      <c r="AY64" s="21">
        <v>110.345</v>
      </c>
      <c r="AZ64" s="21">
        <v>116.104</v>
      </c>
      <c r="BA64" s="21">
        <v>72.254499999999993</v>
      </c>
      <c r="BB64" s="21"/>
      <c r="BC64" s="21">
        <v>74.857200000000006</v>
      </c>
      <c r="BD64" s="21">
        <v>77.004599999999996</v>
      </c>
      <c r="BE64" s="21">
        <v>75.402600000000007</v>
      </c>
      <c r="BF64" s="21">
        <v>63.290300000000002</v>
      </c>
      <c r="BG64" s="21">
        <v>51.142099999999999</v>
      </c>
      <c r="BH64" s="21">
        <v>39.732700000000001</v>
      </c>
      <c r="BI64" s="21">
        <v>37.196100000000001</v>
      </c>
      <c r="BJ64" s="21">
        <v>32.999600000000001</v>
      </c>
      <c r="BK64" s="21">
        <v>99.167199999999994</v>
      </c>
      <c r="BL64" s="21">
        <v>100.881</v>
      </c>
      <c r="BM64" s="21">
        <v>105.739</v>
      </c>
      <c r="BN64" s="21">
        <v>68.554199999999994</v>
      </c>
    </row>
    <row r="65" spans="11:66" x14ac:dyDescent="0.4">
      <c r="K65" s="21">
        <v>640</v>
      </c>
      <c r="L65" s="21">
        <f t="shared" si="1"/>
        <v>780800</v>
      </c>
      <c r="M65" s="66">
        <f t="shared" si="2"/>
        <v>1.7323585858025581</v>
      </c>
      <c r="N65" s="21"/>
      <c r="O65" s="21"/>
      <c r="P65" s="21"/>
      <c r="Q65" s="21"/>
      <c r="R65" s="21"/>
      <c r="S65" s="21"/>
      <c r="T65" s="21"/>
      <c r="U65" s="21"/>
      <c r="V65" s="21"/>
      <c r="W65" s="21"/>
      <c r="X65" s="21"/>
      <c r="Y65" s="21"/>
      <c r="Z65" s="21"/>
      <c r="AA65" s="21"/>
      <c r="AB65" s="21"/>
      <c r="AC65" s="66">
        <f t="shared" si="6"/>
        <v>-3.7353768362141243E-2</v>
      </c>
      <c r="AD65" s="66">
        <f t="shared" si="6"/>
        <v>-9.1631238469124479E-2</v>
      </c>
      <c r="AE65" s="66">
        <f t="shared" si="6"/>
        <v>-8.4924916611114551E-2</v>
      </c>
      <c r="AF65" s="66">
        <f t="shared" si="5"/>
        <v>-0.16490892417715086</v>
      </c>
      <c r="AG65" s="66">
        <f t="shared" si="5"/>
        <v>-0.26436260802522404</v>
      </c>
      <c r="AH65" s="66">
        <f t="shared" si="5"/>
        <v>-0.1974537602785795</v>
      </c>
      <c r="AI65" s="66">
        <f t="shared" si="5"/>
        <v>-0.24799545515197341</v>
      </c>
      <c r="AJ65" s="66">
        <f t="shared" si="5"/>
        <v>-0.20925058857127773</v>
      </c>
      <c r="AK65" s="66">
        <f t="shared" si="5"/>
        <v>-0.11689671754501579</v>
      </c>
      <c r="AL65" s="66">
        <f t="shared" si="5"/>
        <v>-8.5767365988490635E-2</v>
      </c>
      <c r="AM65" s="66">
        <f t="shared" si="5"/>
        <v>-8.9273410046165458E-2</v>
      </c>
      <c r="AN65" s="66">
        <f t="shared" si="5"/>
        <v>-5.1212035236559643E-2</v>
      </c>
      <c r="AO65" s="21"/>
      <c r="AP65" s="21">
        <v>77.761899999999997</v>
      </c>
      <c r="AQ65" s="21">
        <v>84.772400000000005</v>
      </c>
      <c r="AR65" s="21">
        <v>82.355099999999993</v>
      </c>
      <c r="AS65" s="21">
        <v>75.788499999999999</v>
      </c>
      <c r="AT65" s="21">
        <v>69.520799999999994</v>
      </c>
      <c r="AU65" s="21">
        <v>49.508299999999998</v>
      </c>
      <c r="AV65" s="21">
        <v>49.462600000000002</v>
      </c>
      <c r="AW65" s="21">
        <v>41.668700000000001</v>
      </c>
      <c r="AX65" s="21">
        <v>112.294</v>
      </c>
      <c r="AY65" s="21">
        <v>110.345</v>
      </c>
      <c r="AZ65" s="21">
        <v>116.104</v>
      </c>
      <c r="BA65" s="21">
        <v>72.254499999999993</v>
      </c>
      <c r="BB65" s="21"/>
      <c r="BC65" s="21">
        <v>74.857200000000006</v>
      </c>
      <c r="BD65" s="21">
        <v>77.004599999999996</v>
      </c>
      <c r="BE65" s="21">
        <v>75.361099999999993</v>
      </c>
      <c r="BF65" s="21">
        <v>63.290300000000002</v>
      </c>
      <c r="BG65" s="21">
        <v>51.142099999999999</v>
      </c>
      <c r="BH65" s="21">
        <v>39.732700000000001</v>
      </c>
      <c r="BI65" s="21">
        <v>37.196100000000001</v>
      </c>
      <c r="BJ65" s="21">
        <v>32.9495</v>
      </c>
      <c r="BK65" s="21">
        <v>99.167199999999994</v>
      </c>
      <c r="BL65" s="21">
        <v>100.881</v>
      </c>
      <c r="BM65" s="21">
        <v>105.739</v>
      </c>
      <c r="BN65" s="21">
        <v>68.554199999999994</v>
      </c>
    </row>
    <row r="66" spans="11:66" x14ac:dyDescent="0.4">
      <c r="K66" s="21">
        <v>650</v>
      </c>
      <c r="L66" s="21">
        <f t="shared" si="1"/>
        <v>793000</v>
      </c>
      <c r="M66" s="66">
        <f t="shared" si="2"/>
        <v>1.7594266887057231</v>
      </c>
      <c r="N66" s="21"/>
      <c r="O66" s="21"/>
      <c r="P66" s="21"/>
      <c r="Q66" s="21"/>
      <c r="R66" s="21"/>
      <c r="S66" s="21"/>
      <c r="T66" s="21"/>
      <c r="U66" s="21"/>
      <c r="V66" s="21"/>
      <c r="W66" s="21"/>
      <c r="X66" s="21"/>
      <c r="Y66" s="21"/>
      <c r="Z66" s="21"/>
      <c r="AA66" s="21"/>
      <c r="AB66" s="21"/>
      <c r="AC66" s="66">
        <f t="shared" si="6"/>
        <v>-3.7353768362141243E-2</v>
      </c>
      <c r="AD66" s="66">
        <f t="shared" si="6"/>
        <v>-9.1631238469124479E-2</v>
      </c>
      <c r="AE66" s="66">
        <f t="shared" si="6"/>
        <v>-8.5430046226645212E-2</v>
      </c>
      <c r="AF66" s="66">
        <f t="shared" si="5"/>
        <v>-0.16490892417715086</v>
      </c>
      <c r="AG66" s="66">
        <f t="shared" si="5"/>
        <v>-0.26436260802522404</v>
      </c>
      <c r="AH66" s="66">
        <f t="shared" si="5"/>
        <v>-0.1974537602785795</v>
      </c>
      <c r="AI66" s="66">
        <f t="shared" si="5"/>
        <v>-0.24799545515197341</v>
      </c>
      <c r="AJ66" s="66">
        <f t="shared" si="5"/>
        <v>-0.21045053001413525</v>
      </c>
      <c r="AK66" s="66">
        <f t="shared" si="5"/>
        <v>-0.11689671754501579</v>
      </c>
      <c r="AL66" s="66">
        <f t="shared" si="5"/>
        <v>-8.5767365988490635E-2</v>
      </c>
      <c r="AM66" s="66">
        <f t="shared" si="5"/>
        <v>-8.9273410046165458E-2</v>
      </c>
      <c r="AN66" s="66">
        <f t="shared" si="5"/>
        <v>-5.1212035236559643E-2</v>
      </c>
      <c r="AO66" s="21"/>
      <c r="AP66" s="21">
        <v>77.761899999999997</v>
      </c>
      <c r="AQ66" s="21">
        <v>84.772400000000005</v>
      </c>
      <c r="AR66" s="21">
        <v>82.355099999999993</v>
      </c>
      <c r="AS66" s="21">
        <v>75.788499999999999</v>
      </c>
      <c r="AT66" s="21">
        <v>69.520799999999994</v>
      </c>
      <c r="AU66" s="21">
        <v>49.508299999999998</v>
      </c>
      <c r="AV66" s="21">
        <v>49.462600000000002</v>
      </c>
      <c r="AW66" s="21">
        <v>41.668700000000001</v>
      </c>
      <c r="AX66" s="21">
        <v>112.294</v>
      </c>
      <c r="AY66" s="21">
        <v>110.345</v>
      </c>
      <c r="AZ66" s="21">
        <v>116.104</v>
      </c>
      <c r="BA66" s="21">
        <v>72.254499999999993</v>
      </c>
      <c r="BB66" s="21"/>
      <c r="BC66" s="21">
        <v>74.857200000000006</v>
      </c>
      <c r="BD66" s="21">
        <v>77.004599999999996</v>
      </c>
      <c r="BE66" s="21">
        <v>75.319500000000005</v>
      </c>
      <c r="BF66" s="21">
        <v>63.290300000000002</v>
      </c>
      <c r="BG66" s="21">
        <v>51.142099999999999</v>
      </c>
      <c r="BH66" s="21">
        <v>39.732700000000001</v>
      </c>
      <c r="BI66" s="21">
        <v>37.196100000000001</v>
      </c>
      <c r="BJ66" s="21">
        <v>32.899500000000003</v>
      </c>
      <c r="BK66" s="21">
        <v>99.167199999999994</v>
      </c>
      <c r="BL66" s="21">
        <v>100.881</v>
      </c>
      <c r="BM66" s="21">
        <v>105.739</v>
      </c>
      <c r="BN66" s="21">
        <v>68.554199999999994</v>
      </c>
    </row>
    <row r="67" spans="11:66" x14ac:dyDescent="0.4">
      <c r="K67" s="21">
        <v>660</v>
      </c>
      <c r="L67" s="21">
        <f t="shared" ref="L67:L101" si="7">1220*K67</f>
        <v>805200</v>
      </c>
      <c r="M67" s="66">
        <f t="shared" ref="M67:M101" si="8">L67/450715</f>
        <v>1.786494791608888</v>
      </c>
      <c r="N67" s="21"/>
      <c r="O67" s="21"/>
      <c r="P67" s="21"/>
      <c r="Q67" s="21"/>
      <c r="R67" s="21"/>
      <c r="S67" s="21"/>
      <c r="T67" s="21"/>
      <c r="U67" s="21"/>
      <c r="V67" s="21"/>
      <c r="W67" s="21"/>
      <c r="X67" s="21"/>
      <c r="Y67" s="21"/>
      <c r="Z67" s="21"/>
      <c r="AA67" s="21"/>
      <c r="AB67" s="21"/>
      <c r="AC67" s="66">
        <f t="shared" si="6"/>
        <v>-3.7353768362141243E-2</v>
      </c>
      <c r="AD67" s="66">
        <f t="shared" si="6"/>
        <v>-9.1631238469124479E-2</v>
      </c>
      <c r="AE67" s="66">
        <f t="shared" si="6"/>
        <v>-8.5935175842176026E-2</v>
      </c>
      <c r="AF67" s="66">
        <f t="shared" si="5"/>
        <v>-0.16490892417715086</v>
      </c>
      <c r="AG67" s="66">
        <f t="shared" si="5"/>
        <v>-0.26436260802522404</v>
      </c>
      <c r="AH67" s="66">
        <f t="shared" si="5"/>
        <v>-0.1974537602785795</v>
      </c>
      <c r="AI67" s="66">
        <f t="shared" si="5"/>
        <v>-0.24799545515197341</v>
      </c>
      <c r="AJ67" s="66">
        <f t="shared" si="5"/>
        <v>-0.21165287133987856</v>
      </c>
      <c r="AK67" s="66">
        <f t="shared" si="5"/>
        <v>-0.11689671754501579</v>
      </c>
      <c r="AL67" s="66">
        <f t="shared" si="5"/>
        <v>-8.5767365988490635E-2</v>
      </c>
      <c r="AM67" s="66">
        <f t="shared" si="5"/>
        <v>-8.9273410046165458E-2</v>
      </c>
      <c r="AN67" s="66">
        <f t="shared" si="5"/>
        <v>-5.1212035236559643E-2</v>
      </c>
      <c r="AO67" s="21"/>
      <c r="AP67" s="21">
        <v>77.761899999999997</v>
      </c>
      <c r="AQ67" s="21">
        <v>84.772400000000005</v>
      </c>
      <c r="AR67" s="21">
        <v>82.355099999999993</v>
      </c>
      <c r="AS67" s="21">
        <v>75.788499999999999</v>
      </c>
      <c r="AT67" s="21">
        <v>69.520799999999994</v>
      </c>
      <c r="AU67" s="21">
        <v>49.508299999999998</v>
      </c>
      <c r="AV67" s="21">
        <v>49.462600000000002</v>
      </c>
      <c r="AW67" s="21">
        <v>41.668700000000001</v>
      </c>
      <c r="AX67" s="21">
        <v>112.294</v>
      </c>
      <c r="AY67" s="21">
        <v>110.345</v>
      </c>
      <c r="AZ67" s="21">
        <v>116.104</v>
      </c>
      <c r="BA67" s="21">
        <v>72.254499999999993</v>
      </c>
      <c r="BB67" s="21"/>
      <c r="BC67" s="21">
        <v>74.857200000000006</v>
      </c>
      <c r="BD67" s="21">
        <v>77.004599999999996</v>
      </c>
      <c r="BE67" s="21">
        <v>75.277900000000002</v>
      </c>
      <c r="BF67" s="21">
        <v>63.290300000000002</v>
      </c>
      <c r="BG67" s="21">
        <v>51.142099999999999</v>
      </c>
      <c r="BH67" s="21">
        <v>39.732700000000001</v>
      </c>
      <c r="BI67" s="21">
        <v>37.196100000000001</v>
      </c>
      <c r="BJ67" s="21">
        <v>32.849400000000003</v>
      </c>
      <c r="BK67" s="21">
        <v>99.167199999999994</v>
      </c>
      <c r="BL67" s="21">
        <v>100.881</v>
      </c>
      <c r="BM67" s="21">
        <v>105.739</v>
      </c>
      <c r="BN67" s="21">
        <v>68.554199999999994</v>
      </c>
    </row>
    <row r="68" spans="11:66" x14ac:dyDescent="0.4">
      <c r="K68" s="21">
        <v>670</v>
      </c>
      <c r="L68" s="21">
        <f t="shared" si="7"/>
        <v>817400</v>
      </c>
      <c r="M68" s="66">
        <f t="shared" si="8"/>
        <v>1.813562894512053</v>
      </c>
      <c r="N68" s="21"/>
      <c r="O68" s="21"/>
      <c r="P68" s="21"/>
      <c r="Q68" s="21"/>
      <c r="R68" s="21"/>
      <c r="S68" s="21"/>
      <c r="T68" s="21"/>
      <c r="U68" s="21"/>
      <c r="V68" s="21"/>
      <c r="W68" s="21"/>
      <c r="X68" s="21"/>
      <c r="Y68" s="21"/>
      <c r="Z68" s="21"/>
      <c r="AA68" s="21"/>
      <c r="AB68" s="21"/>
      <c r="AC68" s="66">
        <f t="shared" si="6"/>
        <v>-3.7353768362141243E-2</v>
      </c>
      <c r="AD68" s="66">
        <f t="shared" si="6"/>
        <v>-9.1631238469124479E-2</v>
      </c>
      <c r="AE68" s="66">
        <f t="shared" si="6"/>
        <v>-8.6440305457706854E-2</v>
      </c>
      <c r="AF68" s="66">
        <f t="shared" si="5"/>
        <v>-0.16490892417715086</v>
      </c>
      <c r="AG68" s="66">
        <f t="shared" si="5"/>
        <v>-0.26436260802522404</v>
      </c>
      <c r="AH68" s="66">
        <f t="shared" si="5"/>
        <v>-0.1974537602785795</v>
      </c>
      <c r="AI68" s="66">
        <f t="shared" si="5"/>
        <v>-0.24799545515197341</v>
      </c>
      <c r="AJ68" s="66">
        <f t="shared" si="5"/>
        <v>-0.21285281278273627</v>
      </c>
      <c r="AK68" s="66">
        <f t="shared" si="5"/>
        <v>-0.11689671754501579</v>
      </c>
      <c r="AL68" s="66">
        <f t="shared" si="5"/>
        <v>-8.5767365988490635E-2</v>
      </c>
      <c r="AM68" s="66">
        <f t="shared" si="5"/>
        <v>-8.9273410046165458E-2</v>
      </c>
      <c r="AN68" s="66">
        <f t="shared" si="5"/>
        <v>-5.1212035236559643E-2</v>
      </c>
      <c r="AO68" s="21"/>
      <c r="AP68" s="21">
        <v>77.761899999999997</v>
      </c>
      <c r="AQ68" s="21">
        <v>84.772400000000005</v>
      </c>
      <c r="AR68" s="21">
        <v>82.355099999999993</v>
      </c>
      <c r="AS68" s="21">
        <v>75.788499999999999</v>
      </c>
      <c r="AT68" s="21">
        <v>69.520799999999994</v>
      </c>
      <c r="AU68" s="21">
        <v>49.508299999999998</v>
      </c>
      <c r="AV68" s="21">
        <v>49.462600000000002</v>
      </c>
      <c r="AW68" s="21">
        <v>41.668700000000001</v>
      </c>
      <c r="AX68" s="21">
        <v>112.294</v>
      </c>
      <c r="AY68" s="21">
        <v>110.345</v>
      </c>
      <c r="AZ68" s="21">
        <v>116.104</v>
      </c>
      <c r="BA68" s="21">
        <v>72.254499999999993</v>
      </c>
      <c r="BB68" s="21"/>
      <c r="BC68" s="21">
        <v>74.857200000000006</v>
      </c>
      <c r="BD68" s="21">
        <v>77.004599999999996</v>
      </c>
      <c r="BE68" s="21">
        <v>75.2363</v>
      </c>
      <c r="BF68" s="21">
        <v>63.290300000000002</v>
      </c>
      <c r="BG68" s="21">
        <v>51.142099999999999</v>
      </c>
      <c r="BH68" s="21">
        <v>39.732700000000001</v>
      </c>
      <c r="BI68" s="21">
        <v>37.196100000000001</v>
      </c>
      <c r="BJ68" s="21">
        <v>32.799399999999999</v>
      </c>
      <c r="BK68" s="21">
        <v>99.167199999999994</v>
      </c>
      <c r="BL68" s="21">
        <v>100.881</v>
      </c>
      <c r="BM68" s="21">
        <v>105.739</v>
      </c>
      <c r="BN68" s="21">
        <v>68.554199999999994</v>
      </c>
    </row>
    <row r="69" spans="11:66" x14ac:dyDescent="0.4">
      <c r="K69" s="21">
        <v>680</v>
      </c>
      <c r="L69" s="21">
        <f t="shared" si="7"/>
        <v>829600</v>
      </c>
      <c r="M69" s="66">
        <f t="shared" si="8"/>
        <v>1.840630997415218</v>
      </c>
      <c r="N69" s="21"/>
      <c r="O69" s="21"/>
      <c r="P69" s="21"/>
      <c r="Q69" s="21"/>
      <c r="R69" s="21"/>
      <c r="S69" s="21"/>
      <c r="T69" s="21"/>
      <c r="U69" s="21"/>
      <c r="V69" s="21"/>
      <c r="W69" s="21"/>
      <c r="X69" s="21"/>
      <c r="Y69" s="21"/>
      <c r="Z69" s="21"/>
      <c r="AA69" s="21"/>
      <c r="AB69" s="21"/>
      <c r="AC69" s="66">
        <f t="shared" si="6"/>
        <v>-3.7353768362141243E-2</v>
      </c>
      <c r="AD69" s="66">
        <f t="shared" si="6"/>
        <v>-9.1631238469124479E-2</v>
      </c>
      <c r="AE69" s="66">
        <f t="shared" si="6"/>
        <v>-8.6945435073237681E-2</v>
      </c>
      <c r="AF69" s="66">
        <f t="shared" si="5"/>
        <v>-0.16490892417715086</v>
      </c>
      <c r="AG69" s="66">
        <f t="shared" si="5"/>
        <v>-0.26436260802522404</v>
      </c>
      <c r="AH69" s="66">
        <f t="shared" si="5"/>
        <v>-0.1974537602785795</v>
      </c>
      <c r="AI69" s="66">
        <f t="shared" si="5"/>
        <v>-0.24799545515197341</v>
      </c>
      <c r="AJ69" s="66">
        <f t="shared" si="5"/>
        <v>-0.21405515410847958</v>
      </c>
      <c r="AK69" s="66">
        <f t="shared" si="5"/>
        <v>-0.11689671754501579</v>
      </c>
      <c r="AL69" s="66">
        <f t="shared" si="5"/>
        <v>-8.5767365988490635E-2</v>
      </c>
      <c r="AM69" s="66">
        <f t="shared" si="5"/>
        <v>-8.9273410046165458E-2</v>
      </c>
      <c r="AN69" s="66">
        <f t="shared" si="5"/>
        <v>-5.1212035236559643E-2</v>
      </c>
      <c r="AO69" s="21"/>
      <c r="AP69" s="21">
        <v>77.761899999999997</v>
      </c>
      <c r="AQ69" s="21">
        <v>84.772400000000005</v>
      </c>
      <c r="AR69" s="21">
        <v>82.355099999999993</v>
      </c>
      <c r="AS69" s="21">
        <v>75.788499999999999</v>
      </c>
      <c r="AT69" s="21">
        <v>69.520799999999994</v>
      </c>
      <c r="AU69" s="21">
        <v>49.508299999999998</v>
      </c>
      <c r="AV69" s="21">
        <v>49.462600000000002</v>
      </c>
      <c r="AW69" s="21">
        <v>41.668700000000001</v>
      </c>
      <c r="AX69" s="21">
        <v>112.294</v>
      </c>
      <c r="AY69" s="21">
        <v>110.345</v>
      </c>
      <c r="AZ69" s="21">
        <v>116.104</v>
      </c>
      <c r="BA69" s="21">
        <v>72.254499999999993</v>
      </c>
      <c r="BB69" s="21"/>
      <c r="BC69" s="21">
        <v>74.857200000000006</v>
      </c>
      <c r="BD69" s="21">
        <v>77.004599999999996</v>
      </c>
      <c r="BE69" s="21">
        <v>75.194699999999997</v>
      </c>
      <c r="BF69" s="21">
        <v>63.290300000000002</v>
      </c>
      <c r="BG69" s="21">
        <v>51.142099999999999</v>
      </c>
      <c r="BH69" s="21">
        <v>39.732700000000001</v>
      </c>
      <c r="BI69" s="21">
        <v>37.196100000000001</v>
      </c>
      <c r="BJ69" s="21">
        <v>32.749299999999998</v>
      </c>
      <c r="BK69" s="21">
        <v>99.167199999999994</v>
      </c>
      <c r="BL69" s="21">
        <v>100.881</v>
      </c>
      <c r="BM69" s="21">
        <v>105.739</v>
      </c>
      <c r="BN69" s="21">
        <v>68.554199999999994</v>
      </c>
    </row>
    <row r="70" spans="11:66" x14ac:dyDescent="0.4">
      <c r="K70" s="21">
        <v>690</v>
      </c>
      <c r="L70" s="21">
        <f t="shared" si="7"/>
        <v>841800</v>
      </c>
      <c r="M70" s="66">
        <f t="shared" si="8"/>
        <v>1.8676991003183829</v>
      </c>
      <c r="N70" s="21"/>
      <c r="O70" s="21"/>
      <c r="P70" s="21"/>
      <c r="Q70" s="21"/>
      <c r="R70" s="21"/>
      <c r="S70" s="21"/>
      <c r="T70" s="21"/>
      <c r="U70" s="21"/>
      <c r="V70" s="21"/>
      <c r="W70" s="21"/>
      <c r="X70" s="21"/>
      <c r="Y70" s="21"/>
      <c r="Z70" s="21"/>
      <c r="AA70" s="21"/>
      <c r="AB70" s="21"/>
      <c r="AC70" s="66">
        <f t="shared" si="6"/>
        <v>-3.7353768362141243E-2</v>
      </c>
      <c r="AD70" s="66">
        <f t="shared" si="6"/>
        <v>-9.1631238469124479E-2</v>
      </c>
      <c r="AE70" s="66">
        <f t="shared" si="6"/>
        <v>-8.744935043488497E-2</v>
      </c>
      <c r="AF70" s="66">
        <f t="shared" si="5"/>
        <v>-0.16490892417715086</v>
      </c>
      <c r="AG70" s="66">
        <f t="shared" si="5"/>
        <v>-0.26436260802522404</v>
      </c>
      <c r="AH70" s="66">
        <f t="shared" si="5"/>
        <v>-0.1974537602785795</v>
      </c>
      <c r="AI70" s="66">
        <f t="shared" si="5"/>
        <v>-0.24799545515197341</v>
      </c>
      <c r="AJ70" s="66">
        <f t="shared" si="5"/>
        <v>-0.21525509555133709</v>
      </c>
      <c r="AK70" s="66">
        <f t="shared" si="5"/>
        <v>-0.11689671754501579</v>
      </c>
      <c r="AL70" s="66">
        <f t="shared" si="5"/>
        <v>-8.5767365988490635E-2</v>
      </c>
      <c r="AM70" s="66">
        <f t="shared" si="5"/>
        <v>-8.9273410046165458E-2</v>
      </c>
      <c r="AN70" s="66">
        <f t="shared" si="5"/>
        <v>-5.1212035236559643E-2</v>
      </c>
      <c r="AO70" s="21"/>
      <c r="AP70" s="21">
        <v>77.761899999999997</v>
      </c>
      <c r="AQ70" s="21">
        <v>84.772400000000005</v>
      </c>
      <c r="AR70" s="21">
        <v>82.355099999999993</v>
      </c>
      <c r="AS70" s="21">
        <v>75.788499999999999</v>
      </c>
      <c r="AT70" s="21">
        <v>69.520799999999994</v>
      </c>
      <c r="AU70" s="21">
        <v>49.508299999999998</v>
      </c>
      <c r="AV70" s="21">
        <v>49.462600000000002</v>
      </c>
      <c r="AW70" s="21">
        <v>41.668700000000001</v>
      </c>
      <c r="AX70" s="21">
        <v>112.294</v>
      </c>
      <c r="AY70" s="21">
        <v>110.345</v>
      </c>
      <c r="AZ70" s="21">
        <v>116.104</v>
      </c>
      <c r="BA70" s="21">
        <v>72.254499999999993</v>
      </c>
      <c r="BB70" s="21"/>
      <c r="BC70" s="21">
        <v>74.857200000000006</v>
      </c>
      <c r="BD70" s="21">
        <v>77.004599999999996</v>
      </c>
      <c r="BE70" s="21">
        <v>75.153199999999998</v>
      </c>
      <c r="BF70" s="21">
        <v>63.290300000000002</v>
      </c>
      <c r="BG70" s="21">
        <v>51.142099999999999</v>
      </c>
      <c r="BH70" s="21">
        <v>39.732700000000001</v>
      </c>
      <c r="BI70" s="21">
        <v>37.196100000000001</v>
      </c>
      <c r="BJ70" s="21">
        <v>32.699300000000001</v>
      </c>
      <c r="BK70" s="21">
        <v>99.167199999999994</v>
      </c>
      <c r="BL70" s="21">
        <v>100.881</v>
      </c>
      <c r="BM70" s="21">
        <v>105.739</v>
      </c>
      <c r="BN70" s="21">
        <v>68.554199999999994</v>
      </c>
    </row>
    <row r="71" spans="11:66" x14ac:dyDescent="0.4">
      <c r="K71" s="21">
        <v>700</v>
      </c>
      <c r="L71" s="21">
        <f t="shared" si="7"/>
        <v>854000</v>
      </c>
      <c r="M71" s="66">
        <f t="shared" si="8"/>
        <v>1.8947672032215479</v>
      </c>
      <c r="N71" s="21"/>
      <c r="O71" s="21"/>
      <c r="P71" s="21"/>
      <c r="Q71" s="21"/>
      <c r="R71" s="21"/>
      <c r="S71" s="21"/>
      <c r="T71" s="21"/>
      <c r="U71" s="21"/>
      <c r="V71" s="21"/>
      <c r="W71" s="21"/>
      <c r="X71" s="21"/>
      <c r="Y71" s="21"/>
      <c r="Z71" s="21"/>
      <c r="AA71" s="21"/>
      <c r="AB71" s="21"/>
      <c r="AC71" s="66">
        <f t="shared" si="6"/>
        <v>-3.7353768362141243E-2</v>
      </c>
      <c r="AD71" s="66">
        <f t="shared" si="6"/>
        <v>-9.1631238469124479E-2</v>
      </c>
      <c r="AE71" s="66">
        <f t="shared" si="6"/>
        <v>-8.7954480050415798E-2</v>
      </c>
      <c r="AF71" s="66">
        <f t="shared" si="5"/>
        <v>-0.16490892417715086</v>
      </c>
      <c r="AG71" s="66">
        <f t="shared" si="5"/>
        <v>-0.26436260802522404</v>
      </c>
      <c r="AH71" s="66">
        <f t="shared" si="5"/>
        <v>-0.1974537602785795</v>
      </c>
      <c r="AI71" s="66">
        <f t="shared" si="5"/>
        <v>-0.24799545515197341</v>
      </c>
      <c r="AJ71" s="66">
        <f t="shared" si="5"/>
        <v>-0.2164550369941948</v>
      </c>
      <c r="AK71" s="66">
        <f t="shared" si="5"/>
        <v>-0.11689671754501579</v>
      </c>
      <c r="AL71" s="66">
        <f t="shared" si="5"/>
        <v>-8.5767365988490635E-2</v>
      </c>
      <c r="AM71" s="66">
        <f t="shared" si="5"/>
        <v>-8.9273410046165458E-2</v>
      </c>
      <c r="AN71" s="66">
        <f t="shared" si="5"/>
        <v>-5.1212035236559643E-2</v>
      </c>
      <c r="AO71" s="21"/>
      <c r="AP71" s="21">
        <v>77.761899999999997</v>
      </c>
      <c r="AQ71" s="21">
        <v>84.772400000000005</v>
      </c>
      <c r="AR71" s="21">
        <v>82.355099999999993</v>
      </c>
      <c r="AS71" s="21">
        <v>75.788499999999999</v>
      </c>
      <c r="AT71" s="21">
        <v>69.520799999999994</v>
      </c>
      <c r="AU71" s="21">
        <v>49.508299999999998</v>
      </c>
      <c r="AV71" s="21">
        <v>49.462600000000002</v>
      </c>
      <c r="AW71" s="21">
        <v>41.668700000000001</v>
      </c>
      <c r="AX71" s="21">
        <v>112.294</v>
      </c>
      <c r="AY71" s="21">
        <v>110.345</v>
      </c>
      <c r="AZ71" s="21">
        <v>116.104</v>
      </c>
      <c r="BA71" s="21">
        <v>72.254499999999993</v>
      </c>
      <c r="BB71" s="21"/>
      <c r="BC71" s="21">
        <v>74.857200000000006</v>
      </c>
      <c r="BD71" s="21">
        <v>77.004599999999996</v>
      </c>
      <c r="BE71" s="21">
        <v>75.111599999999996</v>
      </c>
      <c r="BF71" s="21">
        <v>63.290300000000002</v>
      </c>
      <c r="BG71" s="21">
        <v>51.142099999999999</v>
      </c>
      <c r="BH71" s="21">
        <v>39.732700000000001</v>
      </c>
      <c r="BI71" s="21">
        <v>37.196100000000001</v>
      </c>
      <c r="BJ71" s="21">
        <v>32.649299999999997</v>
      </c>
      <c r="BK71" s="21">
        <v>99.167199999999994</v>
      </c>
      <c r="BL71" s="21">
        <v>100.881</v>
      </c>
      <c r="BM71" s="21">
        <v>105.739</v>
      </c>
      <c r="BN71" s="21">
        <v>68.554199999999994</v>
      </c>
    </row>
    <row r="72" spans="11:66" x14ac:dyDescent="0.4">
      <c r="K72" s="21">
        <v>710</v>
      </c>
      <c r="L72" s="21">
        <f t="shared" si="7"/>
        <v>866200</v>
      </c>
      <c r="M72" s="66">
        <f t="shared" si="8"/>
        <v>1.9218353061247129</v>
      </c>
      <c r="N72" s="21"/>
      <c r="O72" s="21"/>
      <c r="P72" s="21"/>
      <c r="Q72" s="21"/>
      <c r="R72" s="21"/>
      <c r="S72" s="21"/>
      <c r="T72" s="21"/>
      <c r="U72" s="21"/>
      <c r="V72" s="21"/>
      <c r="W72" s="21"/>
      <c r="X72" s="21"/>
      <c r="Y72" s="21"/>
      <c r="Z72" s="21"/>
      <c r="AA72" s="21"/>
      <c r="AB72" s="21"/>
      <c r="AC72" s="66">
        <f t="shared" si="6"/>
        <v>-3.7353768362141243E-2</v>
      </c>
      <c r="AD72" s="66">
        <f t="shared" si="6"/>
        <v>-9.1631238469124479E-2</v>
      </c>
      <c r="AE72" s="66">
        <f t="shared" si="6"/>
        <v>-8.8459609665946626E-2</v>
      </c>
      <c r="AF72" s="66">
        <f t="shared" si="5"/>
        <v>-0.16490892417715086</v>
      </c>
      <c r="AG72" s="66">
        <f t="shared" si="5"/>
        <v>-0.26436260802522404</v>
      </c>
      <c r="AH72" s="66">
        <f t="shared" si="5"/>
        <v>-0.1974537602785795</v>
      </c>
      <c r="AI72" s="66">
        <f t="shared" si="5"/>
        <v>-0.24799545515197341</v>
      </c>
      <c r="AJ72" s="66">
        <f t="shared" si="5"/>
        <v>-0.21765737831993792</v>
      </c>
      <c r="AK72" s="66">
        <f t="shared" si="5"/>
        <v>-0.11689671754501579</v>
      </c>
      <c r="AL72" s="66">
        <f t="shared" si="5"/>
        <v>-8.5767365988490635E-2</v>
      </c>
      <c r="AM72" s="66">
        <f t="shared" si="5"/>
        <v>-8.9273410046165458E-2</v>
      </c>
      <c r="AN72" s="66">
        <f t="shared" si="5"/>
        <v>-5.1212035236559643E-2</v>
      </c>
      <c r="AO72" s="21"/>
      <c r="AP72" s="21">
        <v>77.761899999999997</v>
      </c>
      <c r="AQ72" s="21">
        <v>84.772400000000005</v>
      </c>
      <c r="AR72" s="21">
        <v>82.355099999999993</v>
      </c>
      <c r="AS72" s="21">
        <v>75.788499999999999</v>
      </c>
      <c r="AT72" s="21">
        <v>69.520799999999994</v>
      </c>
      <c r="AU72" s="21">
        <v>49.508299999999998</v>
      </c>
      <c r="AV72" s="21">
        <v>49.462600000000002</v>
      </c>
      <c r="AW72" s="21">
        <v>41.668700000000001</v>
      </c>
      <c r="AX72" s="21">
        <v>112.294</v>
      </c>
      <c r="AY72" s="21">
        <v>110.345</v>
      </c>
      <c r="AZ72" s="21">
        <v>116.104</v>
      </c>
      <c r="BA72" s="21">
        <v>72.254499999999993</v>
      </c>
      <c r="BB72" s="21"/>
      <c r="BC72" s="21">
        <v>74.857200000000006</v>
      </c>
      <c r="BD72" s="21">
        <v>77.004599999999996</v>
      </c>
      <c r="BE72" s="21">
        <v>75.069999999999993</v>
      </c>
      <c r="BF72" s="21">
        <v>63.290300000000002</v>
      </c>
      <c r="BG72" s="21">
        <v>51.142099999999999</v>
      </c>
      <c r="BH72" s="21">
        <v>39.732700000000001</v>
      </c>
      <c r="BI72" s="21">
        <v>37.196100000000001</v>
      </c>
      <c r="BJ72" s="21">
        <v>32.599200000000003</v>
      </c>
      <c r="BK72" s="21">
        <v>99.167199999999994</v>
      </c>
      <c r="BL72" s="21">
        <v>100.881</v>
      </c>
      <c r="BM72" s="21">
        <v>105.739</v>
      </c>
      <c r="BN72" s="21">
        <v>68.554199999999994</v>
      </c>
    </row>
    <row r="73" spans="11:66" x14ac:dyDescent="0.4">
      <c r="K73" s="21">
        <v>720</v>
      </c>
      <c r="L73" s="21">
        <f t="shared" si="7"/>
        <v>878400</v>
      </c>
      <c r="M73" s="66">
        <f t="shared" si="8"/>
        <v>1.9489034090278778</v>
      </c>
      <c r="N73" s="21"/>
      <c r="O73" s="21"/>
      <c r="P73" s="21"/>
      <c r="Q73" s="21"/>
      <c r="R73" s="21"/>
      <c r="S73" s="21"/>
      <c r="T73" s="21"/>
      <c r="U73" s="21"/>
      <c r="V73" s="21"/>
      <c r="W73" s="21"/>
      <c r="X73" s="21"/>
      <c r="Y73" s="21"/>
      <c r="Z73" s="21"/>
      <c r="AA73" s="21"/>
      <c r="AB73" s="21"/>
      <c r="AC73" s="66">
        <f t="shared" si="6"/>
        <v>-3.7353768362141243E-2</v>
      </c>
      <c r="AD73" s="66">
        <f t="shared" si="6"/>
        <v>-9.1631238469124479E-2</v>
      </c>
      <c r="AE73" s="66">
        <f t="shared" si="6"/>
        <v>-8.8964739281477273E-2</v>
      </c>
      <c r="AF73" s="66">
        <f t="shared" si="5"/>
        <v>-0.16490892417715086</v>
      </c>
      <c r="AG73" s="66">
        <f t="shared" si="5"/>
        <v>-0.26436260802522404</v>
      </c>
      <c r="AH73" s="66">
        <f t="shared" si="5"/>
        <v>-0.1974537602785795</v>
      </c>
      <c r="AI73" s="66">
        <f t="shared" si="5"/>
        <v>-0.24799545515197341</v>
      </c>
      <c r="AJ73" s="66">
        <f t="shared" si="5"/>
        <v>-0.21885731976279563</v>
      </c>
      <c r="AK73" s="66">
        <f t="shared" si="5"/>
        <v>-0.11689671754501579</v>
      </c>
      <c r="AL73" s="66">
        <f t="shared" si="5"/>
        <v>-8.5767365988490635E-2</v>
      </c>
      <c r="AM73" s="66">
        <f t="shared" si="5"/>
        <v>-8.9273410046165458E-2</v>
      </c>
      <c r="AN73" s="66">
        <f t="shared" si="5"/>
        <v>-5.1212035236559643E-2</v>
      </c>
      <c r="AO73" s="21"/>
      <c r="AP73" s="21">
        <v>77.761899999999997</v>
      </c>
      <c r="AQ73" s="21">
        <v>84.772400000000005</v>
      </c>
      <c r="AR73" s="21">
        <v>82.355099999999993</v>
      </c>
      <c r="AS73" s="21">
        <v>75.788499999999999</v>
      </c>
      <c r="AT73" s="21">
        <v>69.520799999999994</v>
      </c>
      <c r="AU73" s="21">
        <v>49.508299999999998</v>
      </c>
      <c r="AV73" s="21">
        <v>49.462600000000002</v>
      </c>
      <c r="AW73" s="21">
        <v>41.668700000000001</v>
      </c>
      <c r="AX73" s="21">
        <v>112.294</v>
      </c>
      <c r="AY73" s="21">
        <v>110.345</v>
      </c>
      <c r="AZ73" s="21">
        <v>116.104</v>
      </c>
      <c r="BA73" s="21">
        <v>72.254499999999993</v>
      </c>
      <c r="BB73" s="21"/>
      <c r="BC73" s="21">
        <v>74.857200000000006</v>
      </c>
      <c r="BD73" s="21">
        <v>77.004599999999996</v>
      </c>
      <c r="BE73" s="21">
        <v>75.028400000000005</v>
      </c>
      <c r="BF73" s="21">
        <v>63.290300000000002</v>
      </c>
      <c r="BG73" s="21">
        <v>51.142099999999999</v>
      </c>
      <c r="BH73" s="21">
        <v>39.732700000000001</v>
      </c>
      <c r="BI73" s="21">
        <v>37.196100000000001</v>
      </c>
      <c r="BJ73" s="21">
        <v>32.549199999999999</v>
      </c>
      <c r="BK73" s="21">
        <v>99.167199999999994</v>
      </c>
      <c r="BL73" s="21">
        <v>100.881</v>
      </c>
      <c r="BM73" s="21">
        <v>105.739</v>
      </c>
      <c r="BN73" s="21">
        <v>68.554199999999994</v>
      </c>
    </row>
    <row r="74" spans="11:66" x14ac:dyDescent="0.4">
      <c r="K74" s="21">
        <v>730</v>
      </c>
      <c r="L74" s="21">
        <f t="shared" si="7"/>
        <v>890600</v>
      </c>
      <c r="M74" s="66">
        <f t="shared" si="8"/>
        <v>1.9759715119310428</v>
      </c>
      <c r="N74" s="21"/>
      <c r="O74" s="21"/>
      <c r="P74" s="21"/>
      <c r="Q74" s="21"/>
      <c r="R74" s="21"/>
      <c r="S74" s="21"/>
      <c r="T74" s="21"/>
      <c r="U74" s="21"/>
      <c r="V74" s="21"/>
      <c r="W74" s="21"/>
      <c r="X74" s="21"/>
      <c r="Y74" s="21"/>
      <c r="Z74" s="21"/>
      <c r="AA74" s="21"/>
      <c r="AB74" s="21"/>
      <c r="AC74" s="66">
        <f t="shared" si="6"/>
        <v>-3.7353768362141243E-2</v>
      </c>
      <c r="AD74" s="66">
        <f t="shared" si="6"/>
        <v>-9.1631238469124479E-2</v>
      </c>
      <c r="AE74" s="66">
        <f t="shared" si="6"/>
        <v>-8.9468654643124562E-2</v>
      </c>
      <c r="AF74" s="66">
        <f t="shared" si="5"/>
        <v>-0.16490892417715086</v>
      </c>
      <c r="AG74" s="66">
        <f t="shared" si="5"/>
        <v>-0.26436260802522404</v>
      </c>
      <c r="AH74" s="66">
        <f t="shared" si="5"/>
        <v>-0.1974537602785795</v>
      </c>
      <c r="AI74" s="66">
        <f t="shared" si="5"/>
        <v>-0.24799545515197341</v>
      </c>
      <c r="AJ74" s="66">
        <f t="shared" si="5"/>
        <v>-0.22005966108853894</v>
      </c>
      <c r="AK74" s="66">
        <f t="shared" si="5"/>
        <v>-0.11689671754501579</v>
      </c>
      <c r="AL74" s="66">
        <f t="shared" si="5"/>
        <v>-8.5767365988490635E-2</v>
      </c>
      <c r="AM74" s="66">
        <f t="shared" si="5"/>
        <v>-8.9273410046165458E-2</v>
      </c>
      <c r="AN74" s="66">
        <f t="shared" si="5"/>
        <v>-5.1212035236559643E-2</v>
      </c>
      <c r="AO74" s="21"/>
      <c r="AP74" s="21">
        <v>77.761899999999997</v>
      </c>
      <c r="AQ74" s="21">
        <v>84.772400000000005</v>
      </c>
      <c r="AR74" s="21">
        <v>82.355099999999993</v>
      </c>
      <c r="AS74" s="21">
        <v>75.788499999999999</v>
      </c>
      <c r="AT74" s="21">
        <v>69.520799999999994</v>
      </c>
      <c r="AU74" s="21">
        <v>49.508299999999998</v>
      </c>
      <c r="AV74" s="21">
        <v>49.462600000000002</v>
      </c>
      <c r="AW74" s="21">
        <v>41.668700000000001</v>
      </c>
      <c r="AX74" s="21">
        <v>112.294</v>
      </c>
      <c r="AY74" s="21">
        <v>110.345</v>
      </c>
      <c r="AZ74" s="21">
        <v>116.104</v>
      </c>
      <c r="BA74" s="21">
        <v>72.254499999999993</v>
      </c>
      <c r="BB74" s="21"/>
      <c r="BC74" s="21">
        <v>74.857200000000006</v>
      </c>
      <c r="BD74" s="21">
        <v>77.004599999999996</v>
      </c>
      <c r="BE74" s="21">
        <v>74.986900000000006</v>
      </c>
      <c r="BF74" s="21">
        <v>63.290300000000002</v>
      </c>
      <c r="BG74" s="21">
        <v>51.142099999999999</v>
      </c>
      <c r="BH74" s="21">
        <v>39.732700000000001</v>
      </c>
      <c r="BI74" s="21">
        <v>37.196100000000001</v>
      </c>
      <c r="BJ74" s="21">
        <v>32.499099999999999</v>
      </c>
      <c r="BK74" s="21">
        <v>99.167199999999994</v>
      </c>
      <c r="BL74" s="21">
        <v>100.881</v>
      </c>
      <c r="BM74" s="21">
        <v>105.739</v>
      </c>
      <c r="BN74" s="21">
        <v>68.554199999999994</v>
      </c>
    </row>
    <row r="75" spans="11:66" x14ac:dyDescent="0.4">
      <c r="K75" s="21">
        <v>740</v>
      </c>
      <c r="L75" s="21">
        <f t="shared" si="7"/>
        <v>902800</v>
      </c>
      <c r="M75" s="66">
        <f t="shared" si="8"/>
        <v>2.0030396148342078</v>
      </c>
      <c r="N75" s="21"/>
      <c r="O75" s="21"/>
      <c r="P75" s="21"/>
      <c r="Q75" s="21"/>
      <c r="R75" s="21"/>
      <c r="S75" s="21"/>
      <c r="T75" s="21"/>
      <c r="U75" s="21"/>
      <c r="V75" s="21"/>
      <c r="W75" s="21"/>
      <c r="X75" s="21"/>
      <c r="Y75" s="21"/>
      <c r="Z75" s="21"/>
      <c r="AA75" s="21"/>
      <c r="AB75" s="21"/>
      <c r="AC75" s="66">
        <f t="shared" si="6"/>
        <v>-3.7353768362141243E-2</v>
      </c>
      <c r="AD75" s="66">
        <f t="shared" si="6"/>
        <v>-9.1631238469124479E-2</v>
      </c>
      <c r="AE75" s="66">
        <f t="shared" si="6"/>
        <v>-8.997378425865539E-2</v>
      </c>
      <c r="AF75" s="66">
        <f t="shared" si="5"/>
        <v>-0.16490892417715086</v>
      </c>
      <c r="AG75" s="66">
        <f t="shared" si="5"/>
        <v>-0.26436260802522404</v>
      </c>
      <c r="AH75" s="66">
        <f t="shared" si="5"/>
        <v>-0.1974537602785795</v>
      </c>
      <c r="AI75" s="66">
        <f t="shared" si="5"/>
        <v>-0.24799545515197341</v>
      </c>
      <c r="AJ75" s="66">
        <f t="shared" si="5"/>
        <v>-0.22125960253139645</v>
      </c>
      <c r="AK75" s="66">
        <f t="shared" si="5"/>
        <v>-0.11689671754501579</v>
      </c>
      <c r="AL75" s="66">
        <f t="shared" si="5"/>
        <v>-8.5767365988490635E-2</v>
      </c>
      <c r="AM75" s="66">
        <f t="shared" si="5"/>
        <v>-8.9273410046165458E-2</v>
      </c>
      <c r="AN75" s="66">
        <f t="shared" si="5"/>
        <v>-5.1212035236559643E-2</v>
      </c>
      <c r="AO75" s="21"/>
      <c r="AP75" s="21">
        <v>77.761899999999997</v>
      </c>
      <c r="AQ75" s="21">
        <v>84.772400000000005</v>
      </c>
      <c r="AR75" s="21">
        <v>82.355099999999993</v>
      </c>
      <c r="AS75" s="21">
        <v>75.788499999999999</v>
      </c>
      <c r="AT75" s="21">
        <v>69.520799999999994</v>
      </c>
      <c r="AU75" s="21">
        <v>49.508299999999998</v>
      </c>
      <c r="AV75" s="21">
        <v>49.462600000000002</v>
      </c>
      <c r="AW75" s="21">
        <v>41.668700000000001</v>
      </c>
      <c r="AX75" s="21">
        <v>112.294</v>
      </c>
      <c r="AY75" s="21">
        <v>110.345</v>
      </c>
      <c r="AZ75" s="21">
        <v>116.104</v>
      </c>
      <c r="BA75" s="21">
        <v>72.254499999999993</v>
      </c>
      <c r="BB75" s="21"/>
      <c r="BC75" s="21">
        <v>74.857200000000006</v>
      </c>
      <c r="BD75" s="21">
        <v>77.004599999999996</v>
      </c>
      <c r="BE75" s="21">
        <v>74.945300000000003</v>
      </c>
      <c r="BF75" s="21">
        <v>63.290300000000002</v>
      </c>
      <c r="BG75" s="21">
        <v>51.142099999999999</v>
      </c>
      <c r="BH75" s="21">
        <v>39.732700000000001</v>
      </c>
      <c r="BI75" s="21">
        <v>37.196100000000001</v>
      </c>
      <c r="BJ75" s="21">
        <v>32.449100000000001</v>
      </c>
      <c r="BK75" s="21">
        <v>99.167199999999994</v>
      </c>
      <c r="BL75" s="21">
        <v>100.881</v>
      </c>
      <c r="BM75" s="21">
        <v>105.739</v>
      </c>
      <c r="BN75" s="21">
        <v>68.554199999999994</v>
      </c>
    </row>
    <row r="76" spans="11:66" x14ac:dyDescent="0.4">
      <c r="K76" s="21">
        <v>750</v>
      </c>
      <c r="L76" s="21">
        <f t="shared" si="7"/>
        <v>915000</v>
      </c>
      <c r="M76" s="66">
        <f t="shared" si="8"/>
        <v>2.0301077177373728</v>
      </c>
      <c r="N76" s="21"/>
      <c r="O76" s="21"/>
      <c r="P76" s="21"/>
      <c r="Q76" s="21"/>
      <c r="R76" s="21"/>
      <c r="S76" s="21"/>
      <c r="T76" s="21"/>
      <c r="U76" s="21"/>
      <c r="V76" s="21"/>
      <c r="W76" s="21"/>
      <c r="X76" s="21"/>
      <c r="Y76" s="21"/>
      <c r="Z76" s="21"/>
      <c r="AA76" s="21"/>
      <c r="AB76" s="21"/>
      <c r="AC76" s="66">
        <f t="shared" si="6"/>
        <v>-3.7353768362141243E-2</v>
      </c>
      <c r="AD76" s="66">
        <f t="shared" si="6"/>
        <v>-9.1631238469124479E-2</v>
      </c>
      <c r="AE76" s="66">
        <f t="shared" si="6"/>
        <v>-9.0478913874186218E-2</v>
      </c>
      <c r="AF76" s="66">
        <f t="shared" si="5"/>
        <v>-0.16490892417715086</v>
      </c>
      <c r="AG76" s="66">
        <f t="shared" si="5"/>
        <v>-0.26436260802522404</v>
      </c>
      <c r="AH76" s="66">
        <f t="shared" si="5"/>
        <v>-0.1974537602785795</v>
      </c>
      <c r="AI76" s="66">
        <f t="shared" si="5"/>
        <v>-0.24799545515197341</v>
      </c>
      <c r="AJ76" s="66">
        <f t="shared" si="5"/>
        <v>-0.22246194385713977</v>
      </c>
      <c r="AK76" s="66">
        <f t="shared" si="5"/>
        <v>-0.11689671754501579</v>
      </c>
      <c r="AL76" s="66">
        <f t="shared" si="5"/>
        <v>-8.5767365988490635E-2</v>
      </c>
      <c r="AM76" s="66">
        <f t="shared" si="5"/>
        <v>-8.9273410046165458E-2</v>
      </c>
      <c r="AN76" s="66">
        <f t="shared" si="5"/>
        <v>-5.1212035236559643E-2</v>
      </c>
      <c r="AO76" s="21"/>
      <c r="AP76" s="21">
        <v>77.761899999999997</v>
      </c>
      <c r="AQ76" s="21">
        <v>84.772400000000005</v>
      </c>
      <c r="AR76" s="21">
        <v>82.355099999999993</v>
      </c>
      <c r="AS76" s="21">
        <v>75.788499999999999</v>
      </c>
      <c r="AT76" s="21">
        <v>69.520799999999994</v>
      </c>
      <c r="AU76" s="21">
        <v>49.508299999999998</v>
      </c>
      <c r="AV76" s="21">
        <v>49.462600000000002</v>
      </c>
      <c r="AW76" s="21">
        <v>41.668700000000001</v>
      </c>
      <c r="AX76" s="21">
        <v>112.294</v>
      </c>
      <c r="AY76" s="21">
        <v>110.345</v>
      </c>
      <c r="AZ76" s="21">
        <v>116.104</v>
      </c>
      <c r="BA76" s="21">
        <v>72.254499999999993</v>
      </c>
      <c r="BB76" s="21"/>
      <c r="BC76" s="21">
        <v>74.857200000000006</v>
      </c>
      <c r="BD76" s="21">
        <v>77.004599999999996</v>
      </c>
      <c r="BE76" s="21">
        <v>74.903700000000001</v>
      </c>
      <c r="BF76" s="21">
        <v>63.290300000000002</v>
      </c>
      <c r="BG76" s="21">
        <v>51.142099999999999</v>
      </c>
      <c r="BH76" s="21">
        <v>39.732700000000001</v>
      </c>
      <c r="BI76" s="21">
        <v>37.196100000000001</v>
      </c>
      <c r="BJ76" s="21">
        <v>32.399000000000001</v>
      </c>
      <c r="BK76" s="21">
        <v>99.167199999999994</v>
      </c>
      <c r="BL76" s="21">
        <v>100.881</v>
      </c>
      <c r="BM76" s="21">
        <v>105.739</v>
      </c>
      <c r="BN76" s="21">
        <v>68.554199999999994</v>
      </c>
    </row>
    <row r="77" spans="11:66" x14ac:dyDescent="0.4">
      <c r="K77" s="21">
        <v>760</v>
      </c>
      <c r="L77" s="21">
        <f t="shared" si="7"/>
        <v>927200</v>
      </c>
      <c r="M77" s="66">
        <f t="shared" si="8"/>
        <v>2.0571758206405377</v>
      </c>
      <c r="N77" s="21"/>
      <c r="O77" s="21"/>
      <c r="P77" s="21"/>
      <c r="Q77" s="21"/>
      <c r="R77" s="21"/>
      <c r="S77" s="21"/>
      <c r="T77" s="21"/>
      <c r="U77" s="21"/>
      <c r="V77" s="21"/>
      <c r="W77" s="21"/>
      <c r="X77" s="21"/>
      <c r="Y77" s="21"/>
      <c r="Z77" s="21"/>
      <c r="AA77" s="21"/>
      <c r="AB77" s="21"/>
      <c r="AC77" s="66">
        <f t="shared" si="6"/>
        <v>-3.7353768362141243E-2</v>
      </c>
      <c r="AD77" s="66">
        <f t="shared" si="6"/>
        <v>-9.1631238469124479E-2</v>
      </c>
      <c r="AE77" s="66">
        <f t="shared" si="6"/>
        <v>-9.0984043489717031E-2</v>
      </c>
      <c r="AF77" s="66">
        <f t="shared" si="5"/>
        <v>-0.16490892417715086</v>
      </c>
      <c r="AG77" s="66">
        <f t="shared" si="5"/>
        <v>-0.26436260802522404</v>
      </c>
      <c r="AH77" s="66">
        <f t="shared" si="5"/>
        <v>-0.1974537602785795</v>
      </c>
      <c r="AI77" s="66">
        <f t="shared" si="5"/>
        <v>-0.24799545515197341</v>
      </c>
      <c r="AJ77" s="66">
        <f t="shared" si="5"/>
        <v>-0.22366188529999748</v>
      </c>
      <c r="AK77" s="66">
        <f t="shared" si="5"/>
        <v>-0.11689671754501579</v>
      </c>
      <c r="AL77" s="66">
        <f t="shared" si="5"/>
        <v>-8.5767365988490635E-2</v>
      </c>
      <c r="AM77" s="66">
        <f t="shared" si="5"/>
        <v>-8.9273410046165458E-2</v>
      </c>
      <c r="AN77" s="66">
        <f t="shared" si="5"/>
        <v>-5.1212035236559643E-2</v>
      </c>
      <c r="AO77" s="21"/>
      <c r="AP77" s="21">
        <v>77.761899999999997</v>
      </c>
      <c r="AQ77" s="21">
        <v>84.772400000000005</v>
      </c>
      <c r="AR77" s="21">
        <v>82.355099999999993</v>
      </c>
      <c r="AS77" s="21">
        <v>75.788499999999999</v>
      </c>
      <c r="AT77" s="21">
        <v>69.520799999999994</v>
      </c>
      <c r="AU77" s="21">
        <v>49.508299999999998</v>
      </c>
      <c r="AV77" s="21">
        <v>49.462600000000002</v>
      </c>
      <c r="AW77" s="21">
        <v>41.668700000000001</v>
      </c>
      <c r="AX77" s="21">
        <v>112.294</v>
      </c>
      <c r="AY77" s="21">
        <v>110.345</v>
      </c>
      <c r="AZ77" s="21">
        <v>116.104</v>
      </c>
      <c r="BA77" s="21">
        <v>72.254499999999993</v>
      </c>
      <c r="BB77" s="21"/>
      <c r="BC77" s="21">
        <v>74.857200000000006</v>
      </c>
      <c r="BD77" s="21">
        <v>77.004599999999996</v>
      </c>
      <c r="BE77" s="21">
        <v>74.862099999999998</v>
      </c>
      <c r="BF77" s="21">
        <v>63.290300000000002</v>
      </c>
      <c r="BG77" s="21">
        <v>51.142099999999999</v>
      </c>
      <c r="BH77" s="21">
        <v>39.732700000000001</v>
      </c>
      <c r="BI77" s="21">
        <v>37.196100000000001</v>
      </c>
      <c r="BJ77" s="21">
        <v>32.348999999999997</v>
      </c>
      <c r="BK77" s="21">
        <v>99.167199999999994</v>
      </c>
      <c r="BL77" s="21">
        <v>100.881</v>
      </c>
      <c r="BM77" s="21">
        <v>105.739</v>
      </c>
      <c r="BN77" s="21">
        <v>68.554199999999994</v>
      </c>
    </row>
    <row r="78" spans="11:66" x14ac:dyDescent="0.4">
      <c r="K78" s="21">
        <v>770</v>
      </c>
      <c r="L78" s="21">
        <f t="shared" si="7"/>
        <v>939400</v>
      </c>
      <c r="M78" s="66">
        <f t="shared" si="8"/>
        <v>2.0842439235437027</v>
      </c>
      <c r="N78" s="21"/>
      <c r="O78" s="21"/>
      <c r="P78" s="21"/>
      <c r="Q78" s="21"/>
      <c r="R78" s="21"/>
      <c r="S78" s="21"/>
      <c r="T78" s="21"/>
      <c r="U78" s="21"/>
      <c r="V78" s="21"/>
      <c r="W78" s="21"/>
      <c r="X78" s="21"/>
      <c r="Y78" s="21"/>
      <c r="Z78" s="21"/>
      <c r="AA78" s="21"/>
      <c r="AB78" s="21"/>
      <c r="AC78" s="66">
        <f t="shared" si="6"/>
        <v>-3.7353768362141243E-2</v>
      </c>
      <c r="AD78" s="66">
        <f t="shared" si="6"/>
        <v>-9.1631238469124479E-2</v>
      </c>
      <c r="AE78" s="66">
        <f t="shared" si="6"/>
        <v>-9.138717577903481E-2</v>
      </c>
      <c r="AF78" s="66">
        <f t="shared" si="5"/>
        <v>-0.16490892417715086</v>
      </c>
      <c r="AG78" s="66">
        <f t="shared" si="5"/>
        <v>-0.26436260802522404</v>
      </c>
      <c r="AH78" s="66">
        <f t="shared" si="5"/>
        <v>-0.1974537602785795</v>
      </c>
      <c r="AI78" s="66">
        <f t="shared" si="5"/>
        <v>-0.24799545515197341</v>
      </c>
      <c r="AJ78" s="66">
        <f t="shared" si="5"/>
        <v>-0.22486182674285499</v>
      </c>
      <c r="AK78" s="66">
        <f t="shared" si="5"/>
        <v>-0.11689671754501579</v>
      </c>
      <c r="AL78" s="66">
        <f t="shared" si="5"/>
        <v>-8.5767365988490635E-2</v>
      </c>
      <c r="AM78" s="66">
        <f t="shared" si="5"/>
        <v>-8.9273410046165458E-2</v>
      </c>
      <c r="AN78" s="66">
        <f t="shared" si="5"/>
        <v>-5.1212035236559643E-2</v>
      </c>
      <c r="AO78" s="21"/>
      <c r="AP78" s="21">
        <v>77.761899999999997</v>
      </c>
      <c r="AQ78" s="21">
        <v>84.772400000000005</v>
      </c>
      <c r="AR78" s="21">
        <v>82.355099999999993</v>
      </c>
      <c r="AS78" s="21">
        <v>75.788499999999999</v>
      </c>
      <c r="AT78" s="21">
        <v>69.520799999999994</v>
      </c>
      <c r="AU78" s="21">
        <v>49.508299999999998</v>
      </c>
      <c r="AV78" s="21">
        <v>49.462600000000002</v>
      </c>
      <c r="AW78" s="21">
        <v>41.668700000000001</v>
      </c>
      <c r="AX78" s="21">
        <v>112.294</v>
      </c>
      <c r="AY78" s="21">
        <v>110.345</v>
      </c>
      <c r="AZ78" s="21">
        <v>116.104</v>
      </c>
      <c r="BA78" s="21">
        <v>72.254499999999993</v>
      </c>
      <c r="BB78" s="21"/>
      <c r="BC78" s="21">
        <v>74.857200000000006</v>
      </c>
      <c r="BD78" s="21">
        <v>77.004599999999996</v>
      </c>
      <c r="BE78" s="21">
        <v>74.828900000000004</v>
      </c>
      <c r="BF78" s="21">
        <v>63.290300000000002</v>
      </c>
      <c r="BG78" s="21">
        <v>51.142099999999999</v>
      </c>
      <c r="BH78" s="21">
        <v>39.732700000000001</v>
      </c>
      <c r="BI78" s="21">
        <v>37.196100000000001</v>
      </c>
      <c r="BJ78" s="21">
        <v>32.298999999999999</v>
      </c>
      <c r="BK78" s="21">
        <v>99.167199999999994</v>
      </c>
      <c r="BL78" s="21">
        <v>100.881</v>
      </c>
      <c r="BM78" s="21">
        <v>105.739</v>
      </c>
      <c r="BN78" s="21">
        <v>68.554199999999994</v>
      </c>
    </row>
    <row r="79" spans="11:66" x14ac:dyDescent="0.4">
      <c r="K79" s="21">
        <v>780</v>
      </c>
      <c r="L79" s="21">
        <f t="shared" si="7"/>
        <v>951600</v>
      </c>
      <c r="M79" s="66">
        <f t="shared" si="8"/>
        <v>2.1113120264468677</v>
      </c>
      <c r="N79" s="21"/>
      <c r="O79" s="21"/>
      <c r="P79" s="21"/>
      <c r="Q79" s="21"/>
      <c r="R79" s="21"/>
      <c r="S79" s="21"/>
      <c r="T79" s="21"/>
      <c r="U79" s="21"/>
      <c r="V79" s="21"/>
      <c r="W79" s="21"/>
      <c r="X79" s="21"/>
      <c r="Y79" s="21"/>
      <c r="Z79" s="21"/>
      <c r="AA79" s="21"/>
      <c r="AB79" s="21"/>
      <c r="AC79" s="66">
        <f t="shared" si="6"/>
        <v>-3.7353768362141243E-2</v>
      </c>
      <c r="AD79" s="66">
        <f t="shared" si="6"/>
        <v>-9.1631238469124479E-2</v>
      </c>
      <c r="AE79" s="66">
        <f t="shared" si="6"/>
        <v>-9.138717577903481E-2</v>
      </c>
      <c r="AF79" s="66">
        <f t="shared" si="5"/>
        <v>-0.16490892417715086</v>
      </c>
      <c r="AG79" s="66">
        <f t="shared" si="5"/>
        <v>-0.26436260802522404</v>
      </c>
      <c r="AH79" s="66">
        <f t="shared" si="5"/>
        <v>-0.1974537602785795</v>
      </c>
      <c r="AI79" s="66">
        <f t="shared" si="5"/>
        <v>-0.24799545515197341</v>
      </c>
      <c r="AJ79" s="66">
        <f t="shared" si="5"/>
        <v>-0.2260641680685983</v>
      </c>
      <c r="AK79" s="66">
        <f t="shared" si="5"/>
        <v>-0.11689671754501579</v>
      </c>
      <c r="AL79" s="66">
        <f t="shared" si="5"/>
        <v>-8.5767365988490635E-2</v>
      </c>
      <c r="AM79" s="66">
        <f t="shared" si="5"/>
        <v>-8.9273410046165458E-2</v>
      </c>
      <c r="AN79" s="66">
        <f t="shared" si="5"/>
        <v>-5.1212035236559643E-2</v>
      </c>
      <c r="AO79" s="21"/>
      <c r="AP79" s="21">
        <v>77.761899999999997</v>
      </c>
      <c r="AQ79" s="21">
        <v>84.772400000000005</v>
      </c>
      <c r="AR79" s="21">
        <v>82.355099999999993</v>
      </c>
      <c r="AS79" s="21">
        <v>75.788499999999999</v>
      </c>
      <c r="AT79" s="21">
        <v>69.520799999999994</v>
      </c>
      <c r="AU79" s="21">
        <v>49.508299999999998</v>
      </c>
      <c r="AV79" s="21">
        <v>49.462600000000002</v>
      </c>
      <c r="AW79" s="21">
        <v>41.668700000000001</v>
      </c>
      <c r="AX79" s="21">
        <v>112.294</v>
      </c>
      <c r="AY79" s="21">
        <v>110.345</v>
      </c>
      <c r="AZ79" s="21">
        <v>116.104</v>
      </c>
      <c r="BA79" s="21">
        <v>72.254499999999993</v>
      </c>
      <c r="BB79" s="21"/>
      <c r="BC79" s="21">
        <v>74.857200000000006</v>
      </c>
      <c r="BD79" s="21">
        <v>77.004599999999996</v>
      </c>
      <c r="BE79" s="21">
        <v>74.828900000000004</v>
      </c>
      <c r="BF79" s="21">
        <v>63.290300000000002</v>
      </c>
      <c r="BG79" s="21">
        <v>51.142099999999999</v>
      </c>
      <c r="BH79" s="21">
        <v>39.732700000000001</v>
      </c>
      <c r="BI79" s="21">
        <v>37.196100000000001</v>
      </c>
      <c r="BJ79" s="21">
        <v>32.248899999999999</v>
      </c>
      <c r="BK79" s="21">
        <v>99.167199999999994</v>
      </c>
      <c r="BL79" s="21">
        <v>100.881</v>
      </c>
      <c r="BM79" s="21">
        <v>105.739</v>
      </c>
      <c r="BN79" s="21">
        <v>68.554199999999994</v>
      </c>
    </row>
    <row r="80" spans="11:66" x14ac:dyDescent="0.4">
      <c r="K80" s="21">
        <v>790</v>
      </c>
      <c r="L80" s="21">
        <f t="shared" si="7"/>
        <v>963800</v>
      </c>
      <c r="M80" s="66">
        <f t="shared" si="8"/>
        <v>2.1383801293500326</v>
      </c>
      <c r="N80" s="21"/>
      <c r="O80" s="21"/>
      <c r="P80" s="21"/>
      <c r="Q80" s="21"/>
      <c r="R80" s="21"/>
      <c r="S80" s="21"/>
      <c r="T80" s="21"/>
      <c r="U80" s="21"/>
      <c r="V80" s="21"/>
      <c r="W80" s="21"/>
      <c r="X80" s="21"/>
      <c r="Y80" s="21"/>
      <c r="Z80" s="21"/>
      <c r="AA80" s="21"/>
      <c r="AB80" s="21"/>
      <c r="AC80" s="66">
        <f t="shared" si="6"/>
        <v>-3.7353768362141243E-2</v>
      </c>
      <c r="AD80" s="66">
        <f t="shared" si="6"/>
        <v>-9.1631238469124479E-2</v>
      </c>
      <c r="AE80" s="66">
        <f t="shared" si="6"/>
        <v>-9.138717577903481E-2</v>
      </c>
      <c r="AF80" s="66">
        <f t="shared" si="5"/>
        <v>-0.16490892417715086</v>
      </c>
      <c r="AG80" s="66">
        <f t="shared" si="5"/>
        <v>-0.26436260802522404</v>
      </c>
      <c r="AH80" s="66">
        <f t="shared" si="5"/>
        <v>-0.1974537602785795</v>
      </c>
      <c r="AI80" s="66">
        <f t="shared" si="5"/>
        <v>-0.24799545515197341</v>
      </c>
      <c r="AJ80" s="66">
        <f t="shared" si="5"/>
        <v>-0.22726410951145581</v>
      </c>
      <c r="AK80" s="66">
        <f t="shared" si="5"/>
        <v>-0.11689671754501579</v>
      </c>
      <c r="AL80" s="66">
        <f t="shared" si="5"/>
        <v>-8.5767365988490635E-2</v>
      </c>
      <c r="AM80" s="66">
        <f t="shared" si="5"/>
        <v>-8.9273410046165458E-2</v>
      </c>
      <c r="AN80" s="66">
        <f t="shared" si="5"/>
        <v>-5.1212035236559643E-2</v>
      </c>
      <c r="AO80" s="21"/>
      <c r="AP80" s="21">
        <v>77.761899999999997</v>
      </c>
      <c r="AQ80" s="21">
        <v>84.772400000000005</v>
      </c>
      <c r="AR80" s="21">
        <v>82.355099999999993</v>
      </c>
      <c r="AS80" s="21">
        <v>75.788499999999999</v>
      </c>
      <c r="AT80" s="21">
        <v>69.520799999999994</v>
      </c>
      <c r="AU80" s="21">
        <v>49.508299999999998</v>
      </c>
      <c r="AV80" s="21">
        <v>49.462600000000002</v>
      </c>
      <c r="AW80" s="21">
        <v>41.668700000000001</v>
      </c>
      <c r="AX80" s="21">
        <v>112.294</v>
      </c>
      <c r="AY80" s="21">
        <v>110.345</v>
      </c>
      <c r="AZ80" s="21">
        <v>116.104</v>
      </c>
      <c r="BA80" s="21">
        <v>72.254499999999993</v>
      </c>
      <c r="BB80" s="21"/>
      <c r="BC80" s="21">
        <v>74.857200000000006</v>
      </c>
      <c r="BD80" s="21">
        <v>77.004599999999996</v>
      </c>
      <c r="BE80" s="21">
        <v>74.828900000000004</v>
      </c>
      <c r="BF80" s="21">
        <v>63.290300000000002</v>
      </c>
      <c r="BG80" s="21">
        <v>51.142099999999999</v>
      </c>
      <c r="BH80" s="21">
        <v>39.732700000000001</v>
      </c>
      <c r="BI80" s="21">
        <v>37.196100000000001</v>
      </c>
      <c r="BJ80" s="21">
        <v>32.198900000000002</v>
      </c>
      <c r="BK80" s="21">
        <v>99.167199999999994</v>
      </c>
      <c r="BL80" s="21">
        <v>100.881</v>
      </c>
      <c r="BM80" s="21">
        <v>105.739</v>
      </c>
      <c r="BN80" s="21">
        <v>68.554199999999994</v>
      </c>
    </row>
    <row r="81" spans="11:66" x14ac:dyDescent="0.4">
      <c r="K81" s="21">
        <v>800</v>
      </c>
      <c r="L81" s="21">
        <f t="shared" si="7"/>
        <v>976000</v>
      </c>
      <c r="M81" s="66">
        <f t="shared" si="8"/>
        <v>2.1654482322531976</v>
      </c>
      <c r="N81" s="21"/>
      <c r="O81" s="21"/>
      <c r="P81" s="21"/>
      <c r="Q81" s="21"/>
      <c r="R81" s="21"/>
      <c r="S81" s="21"/>
      <c r="T81" s="21"/>
      <c r="U81" s="21"/>
      <c r="V81" s="21"/>
      <c r="W81" s="21"/>
      <c r="X81" s="21"/>
      <c r="Y81" s="21"/>
      <c r="Z81" s="21"/>
      <c r="AA81" s="21"/>
      <c r="AB81" s="21"/>
      <c r="AC81" s="66">
        <f t="shared" si="6"/>
        <v>-3.7353768362141243E-2</v>
      </c>
      <c r="AD81" s="66">
        <f t="shared" si="6"/>
        <v>-9.1631238469124479E-2</v>
      </c>
      <c r="AE81" s="66">
        <f t="shared" si="6"/>
        <v>-9.138717577903481E-2</v>
      </c>
      <c r="AF81" s="66">
        <f t="shared" si="5"/>
        <v>-0.16490892417715086</v>
      </c>
      <c r="AG81" s="66">
        <f t="shared" si="5"/>
        <v>-0.26436260802522404</v>
      </c>
      <c r="AH81" s="66">
        <f t="shared" si="5"/>
        <v>-0.1974537602785795</v>
      </c>
      <c r="AI81" s="66">
        <f t="shared" si="5"/>
        <v>-0.24799545515197341</v>
      </c>
      <c r="AJ81" s="66">
        <f t="shared" si="5"/>
        <v>-0.22846645083719913</v>
      </c>
      <c r="AK81" s="66">
        <f t="shared" si="5"/>
        <v>-0.11689671754501579</v>
      </c>
      <c r="AL81" s="66">
        <f t="shared" si="5"/>
        <v>-8.5767365988490635E-2</v>
      </c>
      <c r="AM81" s="66">
        <f t="shared" si="5"/>
        <v>-8.9273410046165458E-2</v>
      </c>
      <c r="AN81" s="66">
        <f t="shared" si="5"/>
        <v>-5.1212035236559643E-2</v>
      </c>
      <c r="AO81" s="21"/>
      <c r="AP81" s="21">
        <v>77.761899999999997</v>
      </c>
      <c r="AQ81" s="21">
        <v>84.772400000000005</v>
      </c>
      <c r="AR81" s="21">
        <v>82.355099999999993</v>
      </c>
      <c r="AS81" s="21">
        <v>75.788499999999999</v>
      </c>
      <c r="AT81" s="21">
        <v>69.520799999999994</v>
      </c>
      <c r="AU81" s="21">
        <v>49.508299999999998</v>
      </c>
      <c r="AV81" s="21">
        <v>49.462600000000002</v>
      </c>
      <c r="AW81" s="21">
        <v>41.668700000000001</v>
      </c>
      <c r="AX81" s="21">
        <v>112.294</v>
      </c>
      <c r="AY81" s="21">
        <v>110.345</v>
      </c>
      <c r="AZ81" s="21">
        <v>116.104</v>
      </c>
      <c r="BA81" s="21">
        <v>72.254499999999993</v>
      </c>
      <c r="BB81" s="21"/>
      <c r="BC81" s="21">
        <v>74.857200000000006</v>
      </c>
      <c r="BD81" s="21">
        <v>77.004599999999996</v>
      </c>
      <c r="BE81" s="21">
        <v>74.828900000000004</v>
      </c>
      <c r="BF81" s="21">
        <v>63.290300000000002</v>
      </c>
      <c r="BG81" s="21">
        <v>51.142099999999999</v>
      </c>
      <c r="BH81" s="21">
        <v>39.732700000000001</v>
      </c>
      <c r="BI81" s="21">
        <v>37.196100000000001</v>
      </c>
      <c r="BJ81" s="21">
        <v>32.148800000000001</v>
      </c>
      <c r="BK81" s="21">
        <v>99.167199999999994</v>
      </c>
      <c r="BL81" s="21">
        <v>100.881</v>
      </c>
      <c r="BM81" s="21">
        <v>105.739</v>
      </c>
      <c r="BN81" s="21">
        <v>68.554199999999994</v>
      </c>
    </row>
    <row r="82" spans="11:66" x14ac:dyDescent="0.4">
      <c r="K82" s="21">
        <v>810</v>
      </c>
      <c r="L82" s="21">
        <f t="shared" si="7"/>
        <v>988200</v>
      </c>
      <c r="M82" s="66">
        <f t="shared" si="8"/>
        <v>2.1925163351563626</v>
      </c>
      <c r="N82" s="21"/>
      <c r="O82" s="21"/>
      <c r="P82" s="21"/>
      <c r="Q82" s="21"/>
      <c r="R82" s="21"/>
      <c r="S82" s="21"/>
      <c r="T82" s="21"/>
      <c r="U82" s="21"/>
      <c r="V82" s="21"/>
      <c r="W82" s="21"/>
      <c r="X82" s="21"/>
      <c r="Y82" s="21"/>
      <c r="Z82" s="21"/>
      <c r="AA82" s="21"/>
      <c r="AB82" s="21"/>
      <c r="AC82" s="66">
        <f t="shared" si="6"/>
        <v>-3.7353768362141243E-2</v>
      </c>
      <c r="AD82" s="66">
        <f t="shared" si="6"/>
        <v>-9.1631238469124479E-2</v>
      </c>
      <c r="AE82" s="66">
        <f t="shared" si="6"/>
        <v>-9.138717577903481E-2</v>
      </c>
      <c r="AF82" s="66">
        <f t="shared" si="5"/>
        <v>-0.16490892417715086</v>
      </c>
      <c r="AG82" s="66">
        <f t="shared" si="5"/>
        <v>-0.26436260802522404</v>
      </c>
      <c r="AH82" s="66">
        <f t="shared" si="5"/>
        <v>-0.1974537602785795</v>
      </c>
      <c r="AI82" s="66">
        <f t="shared" si="5"/>
        <v>-0.24799545515197341</v>
      </c>
      <c r="AJ82" s="66">
        <f t="shared" si="5"/>
        <v>-0.22966639228005684</v>
      </c>
      <c r="AK82" s="66">
        <f t="shared" si="5"/>
        <v>-0.11689671754501579</v>
      </c>
      <c r="AL82" s="66">
        <f t="shared" si="5"/>
        <v>-8.5767365988490635E-2</v>
      </c>
      <c r="AM82" s="66">
        <f t="shared" si="5"/>
        <v>-8.9273410046165458E-2</v>
      </c>
      <c r="AN82" s="66">
        <f t="shared" si="5"/>
        <v>-5.1212035236559643E-2</v>
      </c>
      <c r="AO82" s="21"/>
      <c r="AP82" s="21">
        <v>77.761899999999997</v>
      </c>
      <c r="AQ82" s="21">
        <v>84.772400000000005</v>
      </c>
      <c r="AR82" s="21">
        <v>82.355099999999993</v>
      </c>
      <c r="AS82" s="21">
        <v>75.788499999999999</v>
      </c>
      <c r="AT82" s="21">
        <v>69.520799999999994</v>
      </c>
      <c r="AU82" s="21">
        <v>49.508299999999998</v>
      </c>
      <c r="AV82" s="21">
        <v>49.462600000000002</v>
      </c>
      <c r="AW82" s="21">
        <v>41.668700000000001</v>
      </c>
      <c r="AX82" s="21">
        <v>112.294</v>
      </c>
      <c r="AY82" s="21">
        <v>110.345</v>
      </c>
      <c r="AZ82" s="21">
        <v>116.104</v>
      </c>
      <c r="BA82" s="21">
        <v>72.254499999999993</v>
      </c>
      <c r="BB82" s="21"/>
      <c r="BC82" s="21">
        <v>74.857200000000006</v>
      </c>
      <c r="BD82" s="21">
        <v>77.004599999999996</v>
      </c>
      <c r="BE82" s="21">
        <v>74.828900000000004</v>
      </c>
      <c r="BF82" s="21">
        <v>63.290300000000002</v>
      </c>
      <c r="BG82" s="21">
        <v>51.142099999999999</v>
      </c>
      <c r="BH82" s="21">
        <v>39.732700000000001</v>
      </c>
      <c r="BI82" s="21">
        <v>37.196100000000001</v>
      </c>
      <c r="BJ82" s="21">
        <v>32.098799999999997</v>
      </c>
      <c r="BK82" s="21">
        <v>99.167199999999994</v>
      </c>
      <c r="BL82" s="21">
        <v>100.881</v>
      </c>
      <c r="BM82" s="21">
        <v>105.739</v>
      </c>
      <c r="BN82" s="21">
        <v>68.554199999999994</v>
      </c>
    </row>
    <row r="83" spans="11:66" x14ac:dyDescent="0.4">
      <c r="K83" s="21">
        <v>820</v>
      </c>
      <c r="L83" s="21">
        <f t="shared" si="7"/>
        <v>1000400</v>
      </c>
      <c r="M83" s="66">
        <f t="shared" si="8"/>
        <v>2.2195844380595275</v>
      </c>
      <c r="N83" s="21"/>
      <c r="O83" s="21"/>
      <c r="P83" s="21"/>
      <c r="Q83" s="21"/>
      <c r="R83" s="21"/>
      <c r="S83" s="21"/>
      <c r="T83" s="21"/>
      <c r="U83" s="21"/>
      <c r="V83" s="21"/>
      <c r="W83" s="21"/>
      <c r="X83" s="21"/>
      <c r="Y83" s="21"/>
      <c r="Z83" s="21"/>
      <c r="AA83" s="21"/>
      <c r="AB83" s="21"/>
      <c r="AC83" s="66">
        <f t="shared" si="6"/>
        <v>-3.7353768362141243E-2</v>
      </c>
      <c r="AD83" s="66">
        <f t="shared" si="6"/>
        <v>-9.1631238469124479E-2</v>
      </c>
      <c r="AE83" s="66">
        <f t="shared" si="6"/>
        <v>-9.138717577903481E-2</v>
      </c>
      <c r="AF83" s="66">
        <f t="shared" si="5"/>
        <v>-0.16490892417715086</v>
      </c>
      <c r="AG83" s="66">
        <f t="shared" si="5"/>
        <v>-0.26436260802522404</v>
      </c>
      <c r="AH83" s="66">
        <f t="shared" si="5"/>
        <v>-0.1974537602785795</v>
      </c>
      <c r="AI83" s="66">
        <f t="shared" si="5"/>
        <v>-0.24799545515197341</v>
      </c>
      <c r="AJ83" s="66">
        <f t="shared" si="5"/>
        <v>-0.23086873360580015</v>
      </c>
      <c r="AK83" s="66">
        <f t="shared" si="5"/>
        <v>-0.11689671754501579</v>
      </c>
      <c r="AL83" s="66">
        <f t="shared" si="5"/>
        <v>-8.5767365988490635E-2</v>
      </c>
      <c r="AM83" s="66">
        <f t="shared" si="5"/>
        <v>-8.9273410046165458E-2</v>
      </c>
      <c r="AN83" s="66">
        <f t="shared" si="5"/>
        <v>-5.1212035236559643E-2</v>
      </c>
      <c r="AO83" s="21"/>
      <c r="AP83" s="21">
        <v>77.761899999999997</v>
      </c>
      <c r="AQ83" s="21">
        <v>84.772400000000005</v>
      </c>
      <c r="AR83" s="21">
        <v>82.355099999999993</v>
      </c>
      <c r="AS83" s="21">
        <v>75.788499999999999</v>
      </c>
      <c r="AT83" s="21">
        <v>69.520799999999994</v>
      </c>
      <c r="AU83" s="21">
        <v>49.508299999999998</v>
      </c>
      <c r="AV83" s="21">
        <v>49.462600000000002</v>
      </c>
      <c r="AW83" s="21">
        <v>41.668700000000001</v>
      </c>
      <c r="AX83" s="21">
        <v>112.294</v>
      </c>
      <c r="AY83" s="21">
        <v>110.345</v>
      </c>
      <c r="AZ83" s="21">
        <v>116.104</v>
      </c>
      <c r="BA83" s="21">
        <v>72.254499999999993</v>
      </c>
      <c r="BB83" s="21"/>
      <c r="BC83" s="21">
        <v>74.857200000000006</v>
      </c>
      <c r="BD83" s="21">
        <v>77.004599999999996</v>
      </c>
      <c r="BE83" s="21">
        <v>74.828900000000004</v>
      </c>
      <c r="BF83" s="21">
        <v>63.290300000000002</v>
      </c>
      <c r="BG83" s="21">
        <v>51.142099999999999</v>
      </c>
      <c r="BH83" s="21">
        <v>39.732700000000001</v>
      </c>
      <c r="BI83" s="21">
        <v>37.196100000000001</v>
      </c>
      <c r="BJ83" s="21">
        <v>32.048699999999997</v>
      </c>
      <c r="BK83" s="21">
        <v>99.167199999999994</v>
      </c>
      <c r="BL83" s="21">
        <v>100.881</v>
      </c>
      <c r="BM83" s="21">
        <v>105.739</v>
      </c>
      <c r="BN83" s="21">
        <v>68.554199999999994</v>
      </c>
    </row>
    <row r="84" spans="11:66" x14ac:dyDescent="0.4">
      <c r="K84" s="21">
        <v>830</v>
      </c>
      <c r="L84" s="21">
        <f t="shared" si="7"/>
        <v>1012600</v>
      </c>
      <c r="M84" s="66">
        <f t="shared" si="8"/>
        <v>2.2466525409626925</v>
      </c>
      <c r="N84" s="21"/>
      <c r="O84" s="21"/>
      <c r="P84" s="21"/>
      <c r="Q84" s="21"/>
      <c r="R84" s="21"/>
      <c r="S84" s="21"/>
      <c r="T84" s="21"/>
      <c r="U84" s="21"/>
      <c r="V84" s="21"/>
      <c r="W84" s="21"/>
      <c r="X84" s="21"/>
      <c r="Y84" s="21"/>
      <c r="Z84" s="21"/>
      <c r="AA84" s="21"/>
      <c r="AB84" s="21"/>
      <c r="AC84" s="66">
        <f t="shared" si="6"/>
        <v>-3.7353768362141243E-2</v>
      </c>
      <c r="AD84" s="66">
        <f t="shared" si="6"/>
        <v>-9.1631238469124479E-2</v>
      </c>
      <c r="AE84" s="66">
        <f t="shared" si="6"/>
        <v>-9.138717577903481E-2</v>
      </c>
      <c r="AF84" s="66">
        <f t="shared" si="5"/>
        <v>-0.16490892417715086</v>
      </c>
      <c r="AG84" s="66">
        <f t="shared" si="5"/>
        <v>-0.26436260802522404</v>
      </c>
      <c r="AH84" s="66">
        <f t="shared" si="5"/>
        <v>-0.1974537602785795</v>
      </c>
      <c r="AI84" s="66">
        <f t="shared" si="5"/>
        <v>-0.24799545515197341</v>
      </c>
      <c r="AJ84" s="66">
        <f t="shared" si="5"/>
        <v>-0.23206867504865766</v>
      </c>
      <c r="AK84" s="66">
        <f t="shared" si="5"/>
        <v>-0.11689671754501579</v>
      </c>
      <c r="AL84" s="66">
        <f t="shared" si="5"/>
        <v>-8.5767365988490635E-2</v>
      </c>
      <c r="AM84" s="66">
        <f t="shared" si="5"/>
        <v>-8.9273410046165458E-2</v>
      </c>
      <c r="AN84" s="66">
        <f t="shared" si="5"/>
        <v>-5.1212035236559643E-2</v>
      </c>
      <c r="AO84" s="21"/>
      <c r="AP84" s="21">
        <v>77.761899999999997</v>
      </c>
      <c r="AQ84" s="21">
        <v>84.772400000000005</v>
      </c>
      <c r="AR84" s="21">
        <v>82.355099999999993</v>
      </c>
      <c r="AS84" s="21">
        <v>75.788499999999999</v>
      </c>
      <c r="AT84" s="21">
        <v>69.520799999999994</v>
      </c>
      <c r="AU84" s="21">
        <v>49.508299999999998</v>
      </c>
      <c r="AV84" s="21">
        <v>49.462600000000002</v>
      </c>
      <c r="AW84" s="21">
        <v>41.668700000000001</v>
      </c>
      <c r="AX84" s="21">
        <v>112.294</v>
      </c>
      <c r="AY84" s="21">
        <v>110.345</v>
      </c>
      <c r="AZ84" s="21">
        <v>116.104</v>
      </c>
      <c r="BA84" s="21">
        <v>72.254499999999993</v>
      </c>
      <c r="BB84" s="21"/>
      <c r="BC84" s="21">
        <v>74.857200000000006</v>
      </c>
      <c r="BD84" s="21">
        <v>77.004599999999996</v>
      </c>
      <c r="BE84" s="21">
        <v>74.828900000000004</v>
      </c>
      <c r="BF84" s="21">
        <v>63.290300000000002</v>
      </c>
      <c r="BG84" s="21">
        <v>51.142099999999999</v>
      </c>
      <c r="BH84" s="21">
        <v>39.732700000000001</v>
      </c>
      <c r="BI84" s="21">
        <v>37.196100000000001</v>
      </c>
      <c r="BJ84" s="21">
        <v>31.998699999999999</v>
      </c>
      <c r="BK84" s="21">
        <v>99.167199999999994</v>
      </c>
      <c r="BL84" s="21">
        <v>100.881</v>
      </c>
      <c r="BM84" s="21">
        <v>105.739</v>
      </c>
      <c r="BN84" s="21">
        <v>68.554199999999994</v>
      </c>
    </row>
    <row r="85" spans="11:66" x14ac:dyDescent="0.4">
      <c r="K85" s="21">
        <v>840</v>
      </c>
      <c r="L85" s="21">
        <f t="shared" si="7"/>
        <v>1024800</v>
      </c>
      <c r="M85" s="66">
        <f t="shared" si="8"/>
        <v>2.2737206438658575</v>
      </c>
      <c r="N85" s="21"/>
      <c r="O85" s="21"/>
      <c r="P85" s="21"/>
      <c r="Q85" s="21"/>
      <c r="R85" s="21"/>
      <c r="S85" s="21"/>
      <c r="T85" s="21"/>
      <c r="U85" s="21"/>
      <c r="V85" s="21"/>
      <c r="W85" s="21"/>
      <c r="X85" s="21"/>
      <c r="Y85" s="21"/>
      <c r="Z85" s="21"/>
      <c r="AA85" s="21"/>
      <c r="AB85" s="21"/>
      <c r="AC85" s="66">
        <f t="shared" si="6"/>
        <v>-3.7353768362141243E-2</v>
      </c>
      <c r="AD85" s="66">
        <f t="shared" si="6"/>
        <v>-9.1631238469124479E-2</v>
      </c>
      <c r="AE85" s="66">
        <f t="shared" si="6"/>
        <v>-9.138717577903481E-2</v>
      </c>
      <c r="AF85" s="66">
        <f t="shared" si="5"/>
        <v>-0.16490892417715086</v>
      </c>
      <c r="AG85" s="66">
        <f t="shared" si="5"/>
        <v>-0.26436260802522404</v>
      </c>
      <c r="AH85" s="66">
        <f t="shared" si="5"/>
        <v>-0.1974537602785795</v>
      </c>
      <c r="AI85" s="66">
        <f t="shared" si="5"/>
        <v>-0.24799545515197341</v>
      </c>
      <c r="AJ85" s="66">
        <f t="shared" si="5"/>
        <v>-0.23327101637440098</v>
      </c>
      <c r="AK85" s="66">
        <f t="shared" si="5"/>
        <v>-0.11689671754501579</v>
      </c>
      <c r="AL85" s="66">
        <f t="shared" si="5"/>
        <v>-8.5767365988490635E-2</v>
      </c>
      <c r="AM85" s="66">
        <f t="shared" si="5"/>
        <v>-8.9273410046165458E-2</v>
      </c>
      <c r="AN85" s="66">
        <f t="shared" si="5"/>
        <v>-5.1212035236559643E-2</v>
      </c>
      <c r="AO85" s="21"/>
      <c r="AP85" s="21">
        <v>77.761899999999997</v>
      </c>
      <c r="AQ85" s="21">
        <v>84.772400000000005</v>
      </c>
      <c r="AR85" s="21">
        <v>82.355099999999993</v>
      </c>
      <c r="AS85" s="21">
        <v>75.788499999999999</v>
      </c>
      <c r="AT85" s="21">
        <v>69.520799999999994</v>
      </c>
      <c r="AU85" s="21">
        <v>49.508299999999998</v>
      </c>
      <c r="AV85" s="21">
        <v>49.462600000000002</v>
      </c>
      <c r="AW85" s="21">
        <v>41.668700000000001</v>
      </c>
      <c r="AX85" s="21">
        <v>112.294</v>
      </c>
      <c r="AY85" s="21">
        <v>110.345</v>
      </c>
      <c r="AZ85" s="21">
        <v>116.104</v>
      </c>
      <c r="BA85" s="21">
        <v>72.254499999999993</v>
      </c>
      <c r="BB85" s="21"/>
      <c r="BC85" s="21">
        <v>74.857200000000006</v>
      </c>
      <c r="BD85" s="21">
        <v>77.004599999999996</v>
      </c>
      <c r="BE85" s="21">
        <v>74.828900000000004</v>
      </c>
      <c r="BF85" s="21">
        <v>63.290300000000002</v>
      </c>
      <c r="BG85" s="21">
        <v>51.142099999999999</v>
      </c>
      <c r="BH85" s="21">
        <v>39.732700000000001</v>
      </c>
      <c r="BI85" s="21">
        <v>37.196100000000001</v>
      </c>
      <c r="BJ85" s="21">
        <v>31.948599999999999</v>
      </c>
      <c r="BK85" s="21">
        <v>99.167199999999994</v>
      </c>
      <c r="BL85" s="21">
        <v>100.881</v>
      </c>
      <c r="BM85" s="21">
        <v>105.739</v>
      </c>
      <c r="BN85" s="21">
        <v>68.554199999999994</v>
      </c>
    </row>
    <row r="86" spans="11:66" x14ac:dyDescent="0.4">
      <c r="K86" s="21">
        <v>850</v>
      </c>
      <c r="L86" s="21">
        <f t="shared" si="7"/>
        <v>1037000</v>
      </c>
      <c r="M86" s="66">
        <f t="shared" si="8"/>
        <v>2.3007887467690225</v>
      </c>
      <c r="N86" s="21"/>
      <c r="O86" s="21"/>
      <c r="P86" s="21"/>
      <c r="Q86" s="21"/>
      <c r="R86" s="21"/>
      <c r="S86" s="21"/>
      <c r="T86" s="21"/>
      <c r="U86" s="21"/>
      <c r="V86" s="21"/>
      <c r="W86" s="21"/>
      <c r="X86" s="21"/>
      <c r="Y86" s="21"/>
      <c r="Z86" s="21"/>
      <c r="AA86" s="21"/>
      <c r="AB86" s="21"/>
      <c r="AC86" s="66">
        <f t="shared" si="6"/>
        <v>-3.7353768362141243E-2</v>
      </c>
      <c r="AD86" s="66">
        <f t="shared" si="6"/>
        <v>-9.1631238469124479E-2</v>
      </c>
      <c r="AE86" s="66">
        <f t="shared" si="6"/>
        <v>-9.138717577903481E-2</v>
      </c>
      <c r="AF86" s="66">
        <f t="shared" si="5"/>
        <v>-0.16490892417715086</v>
      </c>
      <c r="AG86" s="66">
        <f t="shared" si="5"/>
        <v>-0.26436260802522404</v>
      </c>
      <c r="AH86" s="66">
        <f t="shared" si="5"/>
        <v>-0.1974537602785795</v>
      </c>
      <c r="AI86" s="66">
        <f t="shared" si="5"/>
        <v>-0.24799545515197341</v>
      </c>
      <c r="AJ86" s="66">
        <f t="shared" si="5"/>
        <v>-0.23447095781725857</v>
      </c>
      <c r="AK86" s="66">
        <f t="shared" si="5"/>
        <v>-0.11689671754501579</v>
      </c>
      <c r="AL86" s="66">
        <f t="shared" si="5"/>
        <v>-8.5767365988490635E-2</v>
      </c>
      <c r="AM86" s="66">
        <f t="shared" si="5"/>
        <v>-8.9273410046165458E-2</v>
      </c>
      <c r="AN86" s="66">
        <f t="shared" si="5"/>
        <v>-5.1212035236559643E-2</v>
      </c>
      <c r="AO86" s="21"/>
      <c r="AP86" s="21">
        <v>77.761899999999997</v>
      </c>
      <c r="AQ86" s="21">
        <v>84.772400000000005</v>
      </c>
      <c r="AR86" s="21">
        <v>82.355099999999993</v>
      </c>
      <c r="AS86" s="21">
        <v>75.788499999999999</v>
      </c>
      <c r="AT86" s="21">
        <v>69.520799999999994</v>
      </c>
      <c r="AU86" s="21">
        <v>49.508299999999998</v>
      </c>
      <c r="AV86" s="21">
        <v>49.462600000000002</v>
      </c>
      <c r="AW86" s="21">
        <v>41.668700000000001</v>
      </c>
      <c r="AX86" s="21">
        <v>112.294</v>
      </c>
      <c r="AY86" s="21">
        <v>110.345</v>
      </c>
      <c r="AZ86" s="21">
        <v>116.104</v>
      </c>
      <c r="BA86" s="21">
        <v>72.254499999999993</v>
      </c>
      <c r="BB86" s="21"/>
      <c r="BC86" s="21">
        <v>74.857200000000006</v>
      </c>
      <c r="BD86" s="21">
        <v>77.004599999999996</v>
      </c>
      <c r="BE86" s="21">
        <v>74.828900000000004</v>
      </c>
      <c r="BF86" s="21">
        <v>63.290300000000002</v>
      </c>
      <c r="BG86" s="21">
        <v>51.142099999999999</v>
      </c>
      <c r="BH86" s="21">
        <v>39.732700000000001</v>
      </c>
      <c r="BI86" s="21">
        <v>37.196100000000001</v>
      </c>
      <c r="BJ86" s="21">
        <v>31.898599999999998</v>
      </c>
      <c r="BK86" s="21">
        <v>99.167199999999994</v>
      </c>
      <c r="BL86" s="21">
        <v>100.881</v>
      </c>
      <c r="BM86" s="21">
        <v>105.739</v>
      </c>
      <c r="BN86" s="21">
        <v>68.554199999999994</v>
      </c>
    </row>
    <row r="87" spans="11:66" x14ac:dyDescent="0.4">
      <c r="K87" s="21">
        <v>860</v>
      </c>
      <c r="L87" s="21">
        <f t="shared" si="7"/>
        <v>1049200</v>
      </c>
      <c r="M87" s="66">
        <f t="shared" si="8"/>
        <v>2.3278568496721874</v>
      </c>
      <c r="N87" s="21"/>
      <c r="O87" s="21"/>
      <c r="P87" s="21"/>
      <c r="Q87" s="21"/>
      <c r="R87" s="21"/>
      <c r="S87" s="21"/>
      <c r="T87" s="21"/>
      <c r="U87" s="21"/>
      <c r="V87" s="21"/>
      <c r="W87" s="21"/>
      <c r="X87" s="21"/>
      <c r="Y87" s="21"/>
      <c r="Z87" s="21"/>
      <c r="AA87" s="21"/>
      <c r="AB87" s="21"/>
      <c r="AC87" s="66">
        <f t="shared" si="6"/>
        <v>-3.7353768362141243E-2</v>
      </c>
      <c r="AD87" s="66">
        <f t="shared" si="6"/>
        <v>-9.1631238469124479E-2</v>
      </c>
      <c r="AE87" s="66">
        <f t="shared" si="6"/>
        <v>-9.138717577903481E-2</v>
      </c>
      <c r="AF87" s="66">
        <f t="shared" si="5"/>
        <v>-0.16490892417715086</v>
      </c>
      <c r="AG87" s="66">
        <f t="shared" si="5"/>
        <v>-0.26436260802522404</v>
      </c>
      <c r="AH87" s="66">
        <f t="shared" si="5"/>
        <v>-0.1974537602785795</v>
      </c>
      <c r="AI87" s="66">
        <f t="shared" ref="AI87:AN101" si="9">(BI87-AV87)/AV87</f>
        <v>-0.24799545515197341</v>
      </c>
      <c r="AJ87" s="66">
        <f t="shared" si="9"/>
        <v>-0.23567089926011611</v>
      </c>
      <c r="AK87" s="66">
        <f t="shared" si="9"/>
        <v>-0.11689671754501579</v>
      </c>
      <c r="AL87" s="66">
        <f t="shared" si="9"/>
        <v>-8.5767365988490635E-2</v>
      </c>
      <c r="AM87" s="66">
        <f t="shared" si="9"/>
        <v>-8.9273410046165458E-2</v>
      </c>
      <c r="AN87" s="66">
        <f t="shared" si="9"/>
        <v>-5.1212035236559643E-2</v>
      </c>
      <c r="AO87" s="21"/>
      <c r="AP87" s="21">
        <v>77.761899999999997</v>
      </c>
      <c r="AQ87" s="21">
        <v>84.772400000000005</v>
      </c>
      <c r="AR87" s="21">
        <v>82.355099999999993</v>
      </c>
      <c r="AS87" s="21">
        <v>75.788499999999999</v>
      </c>
      <c r="AT87" s="21">
        <v>69.520799999999994</v>
      </c>
      <c r="AU87" s="21">
        <v>49.508299999999998</v>
      </c>
      <c r="AV87" s="21">
        <v>49.462600000000002</v>
      </c>
      <c r="AW87" s="21">
        <v>41.668700000000001</v>
      </c>
      <c r="AX87" s="21">
        <v>112.294</v>
      </c>
      <c r="AY87" s="21">
        <v>110.345</v>
      </c>
      <c r="AZ87" s="21">
        <v>116.104</v>
      </c>
      <c r="BA87" s="21">
        <v>72.254499999999993</v>
      </c>
      <c r="BB87" s="21"/>
      <c r="BC87" s="21">
        <v>74.857200000000006</v>
      </c>
      <c r="BD87" s="21">
        <v>77.004599999999996</v>
      </c>
      <c r="BE87" s="21">
        <v>74.828900000000004</v>
      </c>
      <c r="BF87" s="21">
        <v>63.290300000000002</v>
      </c>
      <c r="BG87" s="21">
        <v>51.142099999999999</v>
      </c>
      <c r="BH87" s="21">
        <v>39.732700000000001</v>
      </c>
      <c r="BI87" s="21">
        <v>37.196100000000001</v>
      </c>
      <c r="BJ87" s="21">
        <v>31.848600000000001</v>
      </c>
      <c r="BK87" s="21">
        <v>99.167199999999994</v>
      </c>
      <c r="BL87" s="21">
        <v>100.881</v>
      </c>
      <c r="BM87" s="21">
        <v>105.739</v>
      </c>
      <c r="BN87" s="21">
        <v>68.554199999999994</v>
      </c>
    </row>
    <row r="88" spans="11:66" x14ac:dyDescent="0.4">
      <c r="K88" s="21">
        <v>870</v>
      </c>
      <c r="L88" s="21">
        <f t="shared" si="7"/>
        <v>1061400</v>
      </c>
      <c r="M88" s="66">
        <f t="shared" si="8"/>
        <v>2.3549249525753524</v>
      </c>
      <c r="N88" s="21"/>
      <c r="O88" s="21"/>
      <c r="P88" s="21"/>
      <c r="Q88" s="21"/>
      <c r="R88" s="21"/>
      <c r="S88" s="21"/>
      <c r="T88" s="21"/>
      <c r="U88" s="21"/>
      <c r="V88" s="21"/>
      <c r="W88" s="21"/>
      <c r="X88" s="21"/>
      <c r="Y88" s="21"/>
      <c r="Z88" s="21"/>
      <c r="AA88" s="21"/>
      <c r="AB88" s="21"/>
      <c r="AC88" s="66">
        <f t="shared" si="6"/>
        <v>-3.7353768362141243E-2</v>
      </c>
      <c r="AD88" s="66">
        <f t="shared" si="6"/>
        <v>-9.1631238469124479E-2</v>
      </c>
      <c r="AE88" s="66">
        <f t="shared" si="6"/>
        <v>-9.138717577903481E-2</v>
      </c>
      <c r="AF88" s="66">
        <f t="shared" si="6"/>
        <v>-0.16490892417715086</v>
      </c>
      <c r="AG88" s="66">
        <f t="shared" si="6"/>
        <v>-0.26436260802522404</v>
      </c>
      <c r="AH88" s="66">
        <f t="shared" si="6"/>
        <v>-0.1974537602785795</v>
      </c>
      <c r="AI88" s="66">
        <f t="shared" si="9"/>
        <v>-0.24799545515197341</v>
      </c>
      <c r="AJ88" s="66">
        <f t="shared" si="9"/>
        <v>-0.23687324058585943</v>
      </c>
      <c r="AK88" s="66">
        <f t="shared" si="9"/>
        <v>-0.11689671754501579</v>
      </c>
      <c r="AL88" s="66">
        <f t="shared" si="9"/>
        <v>-8.5767365988490635E-2</v>
      </c>
      <c r="AM88" s="66">
        <f t="shared" si="9"/>
        <v>-8.9273410046165458E-2</v>
      </c>
      <c r="AN88" s="66">
        <f t="shared" si="9"/>
        <v>-5.1212035236559643E-2</v>
      </c>
      <c r="AO88" s="21"/>
      <c r="AP88" s="21">
        <v>77.761899999999997</v>
      </c>
      <c r="AQ88" s="21">
        <v>84.772400000000005</v>
      </c>
      <c r="AR88" s="21">
        <v>82.355099999999993</v>
      </c>
      <c r="AS88" s="21">
        <v>75.788499999999999</v>
      </c>
      <c r="AT88" s="21">
        <v>69.520799999999994</v>
      </c>
      <c r="AU88" s="21">
        <v>49.508299999999998</v>
      </c>
      <c r="AV88" s="21">
        <v>49.462600000000002</v>
      </c>
      <c r="AW88" s="21">
        <v>41.668700000000001</v>
      </c>
      <c r="AX88" s="21">
        <v>112.294</v>
      </c>
      <c r="AY88" s="21">
        <v>110.345</v>
      </c>
      <c r="AZ88" s="21">
        <v>116.104</v>
      </c>
      <c r="BA88" s="21">
        <v>72.254499999999993</v>
      </c>
      <c r="BB88" s="21"/>
      <c r="BC88" s="21">
        <v>74.857200000000006</v>
      </c>
      <c r="BD88" s="21">
        <v>77.004599999999996</v>
      </c>
      <c r="BE88" s="21">
        <v>74.828900000000004</v>
      </c>
      <c r="BF88" s="21">
        <v>63.290300000000002</v>
      </c>
      <c r="BG88" s="21">
        <v>51.142099999999999</v>
      </c>
      <c r="BH88" s="21">
        <v>39.732700000000001</v>
      </c>
      <c r="BI88" s="21">
        <v>37.196100000000001</v>
      </c>
      <c r="BJ88" s="21">
        <v>31.798500000000001</v>
      </c>
      <c r="BK88" s="21">
        <v>99.167199999999994</v>
      </c>
      <c r="BL88" s="21">
        <v>100.881</v>
      </c>
      <c r="BM88" s="21">
        <v>105.739</v>
      </c>
      <c r="BN88" s="21">
        <v>68.554199999999994</v>
      </c>
    </row>
    <row r="89" spans="11:66" x14ac:dyDescent="0.4">
      <c r="K89" s="21">
        <v>880</v>
      </c>
      <c r="L89" s="21">
        <f t="shared" si="7"/>
        <v>1073600</v>
      </c>
      <c r="M89" s="66">
        <f t="shared" si="8"/>
        <v>2.3819930554785174</v>
      </c>
      <c r="N89" s="21"/>
      <c r="O89" s="21"/>
      <c r="P89" s="21"/>
      <c r="Q89" s="21"/>
      <c r="R89" s="21"/>
      <c r="S89" s="21"/>
      <c r="T89" s="21"/>
      <c r="U89" s="21"/>
      <c r="V89" s="21"/>
      <c r="W89" s="21"/>
      <c r="X89" s="21"/>
      <c r="Y89" s="21"/>
      <c r="Z89" s="21"/>
      <c r="AA89" s="21"/>
      <c r="AB89" s="21"/>
      <c r="AC89" s="66">
        <f t="shared" si="6"/>
        <v>-3.7353768362141243E-2</v>
      </c>
      <c r="AD89" s="66">
        <f t="shared" si="6"/>
        <v>-9.1631238469124479E-2</v>
      </c>
      <c r="AE89" s="66">
        <f t="shared" si="6"/>
        <v>-9.138717577903481E-2</v>
      </c>
      <c r="AF89" s="66">
        <f t="shared" si="6"/>
        <v>-0.16490892417715086</v>
      </c>
      <c r="AG89" s="66">
        <f t="shared" si="6"/>
        <v>-0.26436260802522404</v>
      </c>
      <c r="AH89" s="66">
        <f t="shared" si="6"/>
        <v>-0.1974537602785795</v>
      </c>
      <c r="AI89" s="66">
        <f t="shared" si="9"/>
        <v>-0.24799545515197341</v>
      </c>
      <c r="AJ89" s="66">
        <f t="shared" si="9"/>
        <v>-0.23807318202871702</v>
      </c>
      <c r="AK89" s="66">
        <f t="shared" si="9"/>
        <v>-0.11689671754501579</v>
      </c>
      <c r="AL89" s="66">
        <f t="shared" si="9"/>
        <v>-8.5767365988490635E-2</v>
      </c>
      <c r="AM89" s="66">
        <f t="shared" si="9"/>
        <v>-8.9273410046165458E-2</v>
      </c>
      <c r="AN89" s="66">
        <f t="shared" si="9"/>
        <v>-5.1212035236559643E-2</v>
      </c>
      <c r="AO89" s="21"/>
      <c r="AP89" s="21">
        <v>77.761899999999997</v>
      </c>
      <c r="AQ89" s="21">
        <v>84.772400000000005</v>
      </c>
      <c r="AR89" s="21">
        <v>82.355099999999993</v>
      </c>
      <c r="AS89" s="21">
        <v>75.788499999999999</v>
      </c>
      <c r="AT89" s="21">
        <v>69.520799999999994</v>
      </c>
      <c r="AU89" s="21">
        <v>49.508299999999998</v>
      </c>
      <c r="AV89" s="21">
        <v>49.462600000000002</v>
      </c>
      <c r="AW89" s="21">
        <v>41.668700000000001</v>
      </c>
      <c r="AX89" s="21">
        <v>112.294</v>
      </c>
      <c r="AY89" s="21">
        <v>110.345</v>
      </c>
      <c r="AZ89" s="21">
        <v>116.104</v>
      </c>
      <c r="BA89" s="21">
        <v>72.254499999999993</v>
      </c>
      <c r="BB89" s="21"/>
      <c r="BC89" s="21">
        <v>74.857200000000006</v>
      </c>
      <c r="BD89" s="21">
        <v>77.004599999999996</v>
      </c>
      <c r="BE89" s="21">
        <v>74.828900000000004</v>
      </c>
      <c r="BF89" s="21">
        <v>63.290300000000002</v>
      </c>
      <c r="BG89" s="21">
        <v>51.142099999999999</v>
      </c>
      <c r="BH89" s="21">
        <v>39.732700000000001</v>
      </c>
      <c r="BI89" s="21">
        <v>37.196100000000001</v>
      </c>
      <c r="BJ89" s="21">
        <v>31.7485</v>
      </c>
      <c r="BK89" s="21">
        <v>99.167199999999994</v>
      </c>
      <c r="BL89" s="21">
        <v>100.881</v>
      </c>
      <c r="BM89" s="21">
        <v>105.739</v>
      </c>
      <c r="BN89" s="21">
        <v>68.554199999999994</v>
      </c>
    </row>
    <row r="90" spans="11:66" x14ac:dyDescent="0.4">
      <c r="K90" s="21">
        <v>890</v>
      </c>
      <c r="L90" s="21">
        <f t="shared" si="7"/>
        <v>1085800</v>
      </c>
      <c r="M90" s="66">
        <f t="shared" si="8"/>
        <v>2.4090611583816823</v>
      </c>
      <c r="N90" s="21"/>
      <c r="O90" s="21"/>
      <c r="P90" s="21"/>
      <c r="Q90" s="21"/>
      <c r="R90" s="21"/>
      <c r="S90" s="21"/>
      <c r="T90" s="21"/>
      <c r="U90" s="21"/>
      <c r="V90" s="21"/>
      <c r="W90" s="21"/>
      <c r="X90" s="21"/>
      <c r="Y90" s="21"/>
      <c r="Z90" s="21"/>
      <c r="AA90" s="21"/>
      <c r="AB90" s="21"/>
      <c r="AC90" s="66">
        <f t="shared" si="6"/>
        <v>-3.7353768362141243E-2</v>
      </c>
      <c r="AD90" s="66">
        <f t="shared" si="6"/>
        <v>-9.1631238469124479E-2</v>
      </c>
      <c r="AE90" s="66">
        <f t="shared" si="6"/>
        <v>-9.138717577903481E-2</v>
      </c>
      <c r="AF90" s="66">
        <f t="shared" si="6"/>
        <v>-0.16490892417715086</v>
      </c>
      <c r="AG90" s="66">
        <f t="shared" si="6"/>
        <v>-0.26436260802522404</v>
      </c>
      <c r="AH90" s="66">
        <f t="shared" si="6"/>
        <v>-0.1974537602785795</v>
      </c>
      <c r="AI90" s="66">
        <f t="shared" si="9"/>
        <v>-0.24799545515197341</v>
      </c>
      <c r="AJ90" s="66">
        <f t="shared" si="9"/>
        <v>-0.23927552335446034</v>
      </c>
      <c r="AK90" s="66">
        <f t="shared" si="9"/>
        <v>-0.11689671754501579</v>
      </c>
      <c r="AL90" s="66">
        <f t="shared" si="9"/>
        <v>-8.5767365988490635E-2</v>
      </c>
      <c r="AM90" s="66">
        <f t="shared" si="9"/>
        <v>-8.9273410046165458E-2</v>
      </c>
      <c r="AN90" s="66">
        <f t="shared" si="9"/>
        <v>-5.1212035236559643E-2</v>
      </c>
      <c r="AO90" s="21"/>
      <c r="AP90" s="21">
        <v>77.761899999999997</v>
      </c>
      <c r="AQ90" s="21">
        <v>84.772400000000005</v>
      </c>
      <c r="AR90" s="21">
        <v>82.355099999999993</v>
      </c>
      <c r="AS90" s="21">
        <v>75.788499999999999</v>
      </c>
      <c r="AT90" s="21">
        <v>69.520799999999994</v>
      </c>
      <c r="AU90" s="21">
        <v>49.508299999999998</v>
      </c>
      <c r="AV90" s="21">
        <v>49.462600000000002</v>
      </c>
      <c r="AW90" s="21">
        <v>41.668700000000001</v>
      </c>
      <c r="AX90" s="21">
        <v>112.294</v>
      </c>
      <c r="AY90" s="21">
        <v>110.345</v>
      </c>
      <c r="AZ90" s="21">
        <v>116.104</v>
      </c>
      <c r="BA90" s="21">
        <v>72.254499999999993</v>
      </c>
      <c r="BB90" s="21"/>
      <c r="BC90" s="21">
        <v>74.857200000000006</v>
      </c>
      <c r="BD90" s="21">
        <v>77.004599999999996</v>
      </c>
      <c r="BE90" s="21">
        <v>74.828900000000004</v>
      </c>
      <c r="BF90" s="21">
        <v>63.290300000000002</v>
      </c>
      <c r="BG90" s="21">
        <v>51.142099999999999</v>
      </c>
      <c r="BH90" s="21">
        <v>39.732700000000001</v>
      </c>
      <c r="BI90" s="21">
        <v>37.196100000000001</v>
      </c>
      <c r="BJ90" s="21">
        <v>31.698399999999999</v>
      </c>
      <c r="BK90" s="21">
        <v>99.167199999999994</v>
      </c>
      <c r="BL90" s="21">
        <v>100.881</v>
      </c>
      <c r="BM90" s="21">
        <v>105.739</v>
      </c>
      <c r="BN90" s="21">
        <v>68.554199999999994</v>
      </c>
    </row>
    <row r="91" spans="11:66" x14ac:dyDescent="0.4">
      <c r="K91" s="21">
        <v>900</v>
      </c>
      <c r="L91" s="21">
        <f t="shared" si="7"/>
        <v>1098000</v>
      </c>
      <c r="M91" s="66">
        <f t="shared" si="8"/>
        <v>2.4361292612848473</v>
      </c>
      <c r="N91" s="21"/>
      <c r="O91" s="21"/>
      <c r="P91" s="21"/>
      <c r="Q91" s="21"/>
      <c r="R91" s="21"/>
      <c r="S91" s="21"/>
      <c r="T91" s="21"/>
      <c r="U91" s="21"/>
      <c r="V91" s="21"/>
      <c r="W91" s="21"/>
      <c r="X91" s="21"/>
      <c r="Y91" s="21"/>
      <c r="Z91" s="21"/>
      <c r="AA91" s="21"/>
      <c r="AB91" s="21"/>
      <c r="AC91" s="66">
        <f t="shared" si="6"/>
        <v>-3.7353768362141243E-2</v>
      </c>
      <c r="AD91" s="66">
        <f t="shared" si="6"/>
        <v>-9.1631238469124479E-2</v>
      </c>
      <c r="AE91" s="66">
        <f t="shared" si="6"/>
        <v>-9.138717577903481E-2</v>
      </c>
      <c r="AF91" s="66">
        <f t="shared" si="6"/>
        <v>-0.16490892417715086</v>
      </c>
      <c r="AG91" s="66">
        <f t="shared" si="6"/>
        <v>-0.26436260802522404</v>
      </c>
      <c r="AH91" s="66">
        <f t="shared" si="6"/>
        <v>-0.1974537602785795</v>
      </c>
      <c r="AI91" s="66">
        <f t="shared" si="9"/>
        <v>-0.24799545515197341</v>
      </c>
      <c r="AJ91" s="66">
        <f t="shared" si="9"/>
        <v>-0.24047546479731793</v>
      </c>
      <c r="AK91" s="66">
        <f t="shared" si="9"/>
        <v>-0.11689671754501579</v>
      </c>
      <c r="AL91" s="66">
        <f t="shared" si="9"/>
        <v>-8.5767365988490635E-2</v>
      </c>
      <c r="AM91" s="66">
        <f t="shared" si="9"/>
        <v>-8.9273410046165458E-2</v>
      </c>
      <c r="AN91" s="66">
        <f t="shared" si="9"/>
        <v>-5.1212035236559643E-2</v>
      </c>
      <c r="AO91" s="21"/>
      <c r="AP91" s="21">
        <v>77.761899999999997</v>
      </c>
      <c r="AQ91" s="21">
        <v>84.772400000000005</v>
      </c>
      <c r="AR91" s="21">
        <v>82.355099999999993</v>
      </c>
      <c r="AS91" s="21">
        <v>75.788499999999999</v>
      </c>
      <c r="AT91" s="21">
        <v>69.520799999999994</v>
      </c>
      <c r="AU91" s="21">
        <v>49.508299999999998</v>
      </c>
      <c r="AV91" s="21">
        <v>49.462600000000002</v>
      </c>
      <c r="AW91" s="21">
        <v>41.668700000000001</v>
      </c>
      <c r="AX91" s="21">
        <v>112.294</v>
      </c>
      <c r="AY91" s="21">
        <v>110.345</v>
      </c>
      <c r="AZ91" s="21">
        <v>116.104</v>
      </c>
      <c r="BA91" s="21">
        <v>72.254499999999993</v>
      </c>
      <c r="BB91" s="21"/>
      <c r="BC91" s="21">
        <v>74.857200000000006</v>
      </c>
      <c r="BD91" s="21">
        <v>77.004599999999996</v>
      </c>
      <c r="BE91" s="21">
        <v>74.828900000000004</v>
      </c>
      <c r="BF91" s="21">
        <v>63.290300000000002</v>
      </c>
      <c r="BG91" s="21">
        <v>51.142099999999999</v>
      </c>
      <c r="BH91" s="21">
        <v>39.732700000000001</v>
      </c>
      <c r="BI91" s="21">
        <v>37.196100000000001</v>
      </c>
      <c r="BJ91" s="21">
        <v>31.648399999999999</v>
      </c>
      <c r="BK91" s="21">
        <v>99.167199999999994</v>
      </c>
      <c r="BL91" s="21">
        <v>100.881</v>
      </c>
      <c r="BM91" s="21">
        <v>105.739</v>
      </c>
      <c r="BN91" s="21">
        <v>68.554199999999994</v>
      </c>
    </row>
    <row r="92" spans="11:66" x14ac:dyDescent="0.4">
      <c r="K92" s="21">
        <v>910</v>
      </c>
      <c r="L92" s="21">
        <f t="shared" si="7"/>
        <v>1110200</v>
      </c>
      <c r="M92" s="66">
        <f t="shared" si="8"/>
        <v>2.4631973641880123</v>
      </c>
      <c r="N92" s="21"/>
      <c r="O92" s="21"/>
      <c r="P92" s="21"/>
      <c r="Q92" s="21"/>
      <c r="R92" s="21"/>
      <c r="S92" s="21"/>
      <c r="T92" s="21"/>
      <c r="U92" s="21"/>
      <c r="V92" s="21"/>
      <c r="W92" s="21"/>
      <c r="X92" s="21"/>
      <c r="Y92" s="21"/>
      <c r="Z92" s="21"/>
      <c r="AA92" s="21"/>
      <c r="AB92" s="21"/>
      <c r="AC92" s="66">
        <f t="shared" si="6"/>
        <v>-3.7353768362141243E-2</v>
      </c>
      <c r="AD92" s="66">
        <f t="shared" si="6"/>
        <v>-9.1631238469124479E-2</v>
      </c>
      <c r="AE92" s="66">
        <f t="shared" si="6"/>
        <v>-9.138717577903481E-2</v>
      </c>
      <c r="AF92" s="66">
        <f t="shared" si="6"/>
        <v>-0.16490892417715086</v>
      </c>
      <c r="AG92" s="66">
        <f t="shared" si="6"/>
        <v>-0.26436260802522404</v>
      </c>
      <c r="AH92" s="66">
        <f t="shared" si="6"/>
        <v>-0.1974537602785795</v>
      </c>
      <c r="AI92" s="66">
        <f t="shared" si="9"/>
        <v>-0.24799545515197341</v>
      </c>
      <c r="AJ92" s="66">
        <f t="shared" si="9"/>
        <v>-0.24167780612306125</v>
      </c>
      <c r="AK92" s="66">
        <f t="shared" si="9"/>
        <v>-0.11689671754501579</v>
      </c>
      <c r="AL92" s="66">
        <f t="shared" si="9"/>
        <v>-8.5767365988490635E-2</v>
      </c>
      <c r="AM92" s="66">
        <f t="shared" si="9"/>
        <v>-8.9273410046165458E-2</v>
      </c>
      <c r="AN92" s="66">
        <f t="shared" si="9"/>
        <v>-5.1212035236559643E-2</v>
      </c>
      <c r="AO92" s="21"/>
      <c r="AP92" s="21">
        <v>77.761899999999997</v>
      </c>
      <c r="AQ92" s="21">
        <v>84.772400000000005</v>
      </c>
      <c r="AR92" s="21">
        <v>82.355099999999993</v>
      </c>
      <c r="AS92" s="21">
        <v>75.788499999999999</v>
      </c>
      <c r="AT92" s="21">
        <v>69.520799999999994</v>
      </c>
      <c r="AU92" s="21">
        <v>49.508299999999998</v>
      </c>
      <c r="AV92" s="21">
        <v>49.462600000000002</v>
      </c>
      <c r="AW92" s="21">
        <v>41.668700000000001</v>
      </c>
      <c r="AX92" s="21">
        <v>112.294</v>
      </c>
      <c r="AY92" s="21">
        <v>110.345</v>
      </c>
      <c r="AZ92" s="21">
        <v>116.104</v>
      </c>
      <c r="BA92" s="21">
        <v>72.254499999999993</v>
      </c>
      <c r="BB92" s="21"/>
      <c r="BC92" s="21">
        <v>74.857200000000006</v>
      </c>
      <c r="BD92" s="21">
        <v>77.004599999999996</v>
      </c>
      <c r="BE92" s="21">
        <v>74.828900000000004</v>
      </c>
      <c r="BF92" s="21">
        <v>63.290300000000002</v>
      </c>
      <c r="BG92" s="21">
        <v>51.142099999999999</v>
      </c>
      <c r="BH92" s="21">
        <v>39.732700000000001</v>
      </c>
      <c r="BI92" s="21">
        <v>37.196100000000001</v>
      </c>
      <c r="BJ92" s="21">
        <v>31.598299999999998</v>
      </c>
      <c r="BK92" s="21">
        <v>99.167199999999994</v>
      </c>
      <c r="BL92" s="21">
        <v>100.881</v>
      </c>
      <c r="BM92" s="21">
        <v>105.739</v>
      </c>
      <c r="BN92" s="21">
        <v>68.554199999999994</v>
      </c>
    </row>
    <row r="93" spans="11:66" x14ac:dyDescent="0.4">
      <c r="K93" s="21">
        <v>920</v>
      </c>
      <c r="L93" s="21">
        <f t="shared" si="7"/>
        <v>1122400</v>
      </c>
      <c r="M93" s="66">
        <f t="shared" si="8"/>
        <v>2.4902654670911772</v>
      </c>
      <c r="N93" s="21"/>
      <c r="O93" s="21"/>
      <c r="P93" s="21"/>
      <c r="Q93" s="21"/>
      <c r="R93" s="21"/>
      <c r="S93" s="21"/>
      <c r="T93" s="21"/>
      <c r="U93" s="21"/>
      <c r="V93" s="21"/>
      <c r="W93" s="21"/>
      <c r="X93" s="21"/>
      <c r="Y93" s="21"/>
      <c r="Z93" s="21"/>
      <c r="AA93" s="21"/>
      <c r="AB93" s="21"/>
      <c r="AC93" s="66">
        <f t="shared" si="6"/>
        <v>-3.7353768362141243E-2</v>
      </c>
      <c r="AD93" s="66">
        <f t="shared" si="6"/>
        <v>-9.1631238469124479E-2</v>
      </c>
      <c r="AE93" s="66">
        <f t="shared" si="6"/>
        <v>-9.138717577903481E-2</v>
      </c>
      <c r="AF93" s="66">
        <f t="shared" si="6"/>
        <v>-0.16490892417715086</v>
      </c>
      <c r="AG93" s="66">
        <f t="shared" si="6"/>
        <v>-0.26436260802522404</v>
      </c>
      <c r="AH93" s="66">
        <f t="shared" si="6"/>
        <v>-0.1974537602785795</v>
      </c>
      <c r="AI93" s="66">
        <f t="shared" si="9"/>
        <v>-0.24799545515197341</v>
      </c>
      <c r="AJ93" s="66">
        <f t="shared" si="9"/>
        <v>-0.24287774756591879</v>
      </c>
      <c r="AK93" s="66">
        <f t="shared" si="9"/>
        <v>-0.11689671754501579</v>
      </c>
      <c r="AL93" s="66">
        <f t="shared" si="9"/>
        <v>-8.5767365988490635E-2</v>
      </c>
      <c r="AM93" s="66">
        <f t="shared" si="9"/>
        <v>-8.9273410046165458E-2</v>
      </c>
      <c r="AN93" s="66">
        <f t="shared" si="9"/>
        <v>-5.1212035236559643E-2</v>
      </c>
      <c r="AO93" s="21"/>
      <c r="AP93" s="21">
        <v>77.761899999999997</v>
      </c>
      <c r="AQ93" s="21">
        <v>84.772400000000005</v>
      </c>
      <c r="AR93" s="21">
        <v>82.355099999999993</v>
      </c>
      <c r="AS93" s="21">
        <v>75.788499999999999</v>
      </c>
      <c r="AT93" s="21">
        <v>69.520799999999994</v>
      </c>
      <c r="AU93" s="21">
        <v>49.508299999999998</v>
      </c>
      <c r="AV93" s="21">
        <v>49.462600000000002</v>
      </c>
      <c r="AW93" s="21">
        <v>41.668700000000001</v>
      </c>
      <c r="AX93" s="21">
        <v>112.294</v>
      </c>
      <c r="AY93" s="21">
        <v>110.345</v>
      </c>
      <c r="AZ93" s="21">
        <v>116.104</v>
      </c>
      <c r="BA93" s="21">
        <v>72.254499999999993</v>
      </c>
      <c r="BB93" s="21"/>
      <c r="BC93" s="21">
        <v>74.857200000000006</v>
      </c>
      <c r="BD93" s="21">
        <v>77.004599999999996</v>
      </c>
      <c r="BE93" s="21">
        <v>74.828900000000004</v>
      </c>
      <c r="BF93" s="21">
        <v>63.290300000000002</v>
      </c>
      <c r="BG93" s="21">
        <v>51.142099999999999</v>
      </c>
      <c r="BH93" s="21">
        <v>39.732700000000001</v>
      </c>
      <c r="BI93" s="21">
        <v>37.196100000000001</v>
      </c>
      <c r="BJ93" s="21">
        <v>31.548300000000001</v>
      </c>
      <c r="BK93" s="21">
        <v>99.167199999999994</v>
      </c>
      <c r="BL93" s="21">
        <v>100.881</v>
      </c>
      <c r="BM93" s="21">
        <v>105.739</v>
      </c>
      <c r="BN93" s="21">
        <v>68.554199999999994</v>
      </c>
    </row>
    <row r="94" spans="11:66" x14ac:dyDescent="0.4">
      <c r="K94" s="21">
        <v>930</v>
      </c>
      <c r="L94" s="21">
        <f t="shared" si="7"/>
        <v>1134600</v>
      </c>
      <c r="M94" s="66">
        <f t="shared" si="8"/>
        <v>2.5173335699943422</v>
      </c>
      <c r="N94" s="21"/>
      <c r="O94" s="21"/>
      <c r="P94" s="21"/>
      <c r="Q94" s="21"/>
      <c r="R94" s="21"/>
      <c r="S94" s="21"/>
      <c r="T94" s="21"/>
      <c r="U94" s="21"/>
      <c r="V94" s="21"/>
      <c r="W94" s="21"/>
      <c r="X94" s="21"/>
      <c r="Y94" s="21"/>
      <c r="Z94" s="21"/>
      <c r="AA94" s="21"/>
      <c r="AB94" s="21"/>
      <c r="AC94" s="66">
        <f t="shared" si="6"/>
        <v>-3.7353768362141243E-2</v>
      </c>
      <c r="AD94" s="66">
        <f t="shared" si="6"/>
        <v>-9.1631238469124479E-2</v>
      </c>
      <c r="AE94" s="66">
        <f t="shared" si="6"/>
        <v>-9.138717577903481E-2</v>
      </c>
      <c r="AF94" s="66">
        <f t="shared" si="6"/>
        <v>-0.16490892417715086</v>
      </c>
      <c r="AG94" s="66">
        <f t="shared" si="6"/>
        <v>-0.26436260802522404</v>
      </c>
      <c r="AH94" s="66">
        <f t="shared" si="6"/>
        <v>-0.1974537602785795</v>
      </c>
      <c r="AI94" s="66">
        <f t="shared" si="9"/>
        <v>-0.24799545515197341</v>
      </c>
      <c r="AJ94" s="66">
        <f t="shared" si="9"/>
        <v>-0.24408008889166211</v>
      </c>
      <c r="AK94" s="66">
        <f t="shared" si="9"/>
        <v>-0.11689671754501579</v>
      </c>
      <c r="AL94" s="66">
        <f t="shared" si="9"/>
        <v>-8.5767365988490635E-2</v>
      </c>
      <c r="AM94" s="66">
        <f t="shared" si="9"/>
        <v>-8.9273410046165458E-2</v>
      </c>
      <c r="AN94" s="66">
        <f t="shared" si="9"/>
        <v>-5.1212035236559643E-2</v>
      </c>
      <c r="AO94" s="21"/>
      <c r="AP94" s="21">
        <v>77.761899999999997</v>
      </c>
      <c r="AQ94" s="21">
        <v>84.772400000000005</v>
      </c>
      <c r="AR94" s="21">
        <v>82.355099999999993</v>
      </c>
      <c r="AS94" s="21">
        <v>75.788499999999999</v>
      </c>
      <c r="AT94" s="21">
        <v>69.520799999999994</v>
      </c>
      <c r="AU94" s="21">
        <v>49.508299999999998</v>
      </c>
      <c r="AV94" s="21">
        <v>49.462600000000002</v>
      </c>
      <c r="AW94" s="21">
        <v>41.668700000000001</v>
      </c>
      <c r="AX94" s="21">
        <v>112.294</v>
      </c>
      <c r="AY94" s="21">
        <v>110.345</v>
      </c>
      <c r="AZ94" s="21">
        <v>116.104</v>
      </c>
      <c r="BA94" s="21">
        <v>72.254499999999993</v>
      </c>
      <c r="BB94" s="21"/>
      <c r="BC94" s="21">
        <v>74.857200000000006</v>
      </c>
      <c r="BD94" s="21">
        <v>77.004599999999996</v>
      </c>
      <c r="BE94" s="21">
        <v>74.828900000000004</v>
      </c>
      <c r="BF94" s="21">
        <v>63.290300000000002</v>
      </c>
      <c r="BG94" s="21">
        <v>51.142099999999999</v>
      </c>
      <c r="BH94" s="21">
        <v>39.732700000000001</v>
      </c>
      <c r="BI94" s="21">
        <v>37.196100000000001</v>
      </c>
      <c r="BJ94" s="21">
        <v>31.498200000000001</v>
      </c>
      <c r="BK94" s="21">
        <v>99.167199999999994</v>
      </c>
      <c r="BL94" s="21">
        <v>100.881</v>
      </c>
      <c r="BM94" s="21">
        <v>105.739</v>
      </c>
      <c r="BN94" s="21">
        <v>68.554199999999994</v>
      </c>
    </row>
    <row r="95" spans="11:66" x14ac:dyDescent="0.4">
      <c r="K95" s="21">
        <v>940</v>
      </c>
      <c r="L95" s="21">
        <f t="shared" si="7"/>
        <v>1146800</v>
      </c>
      <c r="M95" s="66">
        <f t="shared" si="8"/>
        <v>2.5444016728975072</v>
      </c>
      <c r="N95" s="21"/>
      <c r="O95" s="21"/>
      <c r="P95" s="21"/>
      <c r="Q95" s="21"/>
      <c r="R95" s="21"/>
      <c r="S95" s="21"/>
      <c r="T95" s="21"/>
      <c r="U95" s="21"/>
      <c r="V95" s="21"/>
      <c r="W95" s="21"/>
      <c r="X95" s="21"/>
      <c r="Y95" s="21"/>
      <c r="Z95" s="21"/>
      <c r="AA95" s="21"/>
      <c r="AB95" s="21"/>
      <c r="AC95" s="66">
        <f t="shared" si="6"/>
        <v>-3.7353768362141243E-2</v>
      </c>
      <c r="AD95" s="66">
        <f t="shared" si="6"/>
        <v>-9.1631238469124479E-2</v>
      </c>
      <c r="AE95" s="66">
        <f t="shared" si="6"/>
        <v>-9.138717577903481E-2</v>
      </c>
      <c r="AF95" s="66">
        <f t="shared" si="6"/>
        <v>-0.16490892417715086</v>
      </c>
      <c r="AG95" s="66">
        <f t="shared" si="6"/>
        <v>-0.26436260802522404</v>
      </c>
      <c r="AH95" s="66">
        <f t="shared" si="6"/>
        <v>-0.1974537602785795</v>
      </c>
      <c r="AI95" s="66">
        <f t="shared" si="9"/>
        <v>-0.24799545515197341</v>
      </c>
      <c r="AJ95" s="66">
        <f t="shared" si="9"/>
        <v>-0.2452800303345197</v>
      </c>
      <c r="AK95" s="66">
        <f t="shared" si="9"/>
        <v>-0.11689671754501579</v>
      </c>
      <c r="AL95" s="66">
        <f t="shared" si="9"/>
        <v>-8.5767365988490635E-2</v>
      </c>
      <c r="AM95" s="66">
        <f t="shared" si="9"/>
        <v>-8.9273410046165458E-2</v>
      </c>
      <c r="AN95" s="66">
        <f t="shared" si="9"/>
        <v>-5.1212035236559643E-2</v>
      </c>
      <c r="AO95" s="21"/>
      <c r="AP95" s="21">
        <v>77.761899999999997</v>
      </c>
      <c r="AQ95" s="21">
        <v>84.772400000000005</v>
      </c>
      <c r="AR95" s="21">
        <v>82.355099999999993</v>
      </c>
      <c r="AS95" s="21">
        <v>75.788499999999999</v>
      </c>
      <c r="AT95" s="21">
        <v>69.520799999999994</v>
      </c>
      <c r="AU95" s="21">
        <v>49.508299999999998</v>
      </c>
      <c r="AV95" s="21">
        <v>49.462600000000002</v>
      </c>
      <c r="AW95" s="21">
        <v>41.668700000000001</v>
      </c>
      <c r="AX95" s="21">
        <v>112.294</v>
      </c>
      <c r="AY95" s="21">
        <v>110.345</v>
      </c>
      <c r="AZ95" s="21">
        <v>116.104</v>
      </c>
      <c r="BA95" s="21">
        <v>72.254499999999993</v>
      </c>
      <c r="BB95" s="21"/>
      <c r="BC95" s="21">
        <v>74.857200000000006</v>
      </c>
      <c r="BD95" s="21">
        <v>77.004599999999996</v>
      </c>
      <c r="BE95" s="21">
        <v>74.828900000000004</v>
      </c>
      <c r="BF95" s="21">
        <v>63.290300000000002</v>
      </c>
      <c r="BG95" s="21">
        <v>51.142099999999999</v>
      </c>
      <c r="BH95" s="21">
        <v>39.732700000000001</v>
      </c>
      <c r="BI95" s="21">
        <v>37.196100000000001</v>
      </c>
      <c r="BJ95" s="21">
        <v>31.4482</v>
      </c>
      <c r="BK95" s="21">
        <v>99.167199999999994</v>
      </c>
      <c r="BL95" s="21">
        <v>100.881</v>
      </c>
      <c r="BM95" s="21">
        <v>105.739</v>
      </c>
      <c r="BN95" s="21">
        <v>68.554199999999994</v>
      </c>
    </row>
    <row r="96" spans="11:66" x14ac:dyDescent="0.4">
      <c r="K96" s="21">
        <v>950</v>
      </c>
      <c r="L96" s="21">
        <f t="shared" si="7"/>
        <v>1159000</v>
      </c>
      <c r="M96" s="66">
        <f t="shared" si="8"/>
        <v>2.5714697758006722</v>
      </c>
      <c r="N96" s="21"/>
      <c r="O96" s="21"/>
      <c r="P96" s="21"/>
      <c r="Q96" s="21"/>
      <c r="R96" s="21"/>
      <c r="S96" s="21"/>
      <c r="T96" s="21"/>
      <c r="U96" s="21"/>
      <c r="V96" s="21"/>
      <c r="W96" s="21"/>
      <c r="X96" s="21"/>
      <c r="Y96" s="21"/>
      <c r="Z96" s="21"/>
      <c r="AA96" s="21"/>
      <c r="AB96" s="21"/>
      <c r="AC96" s="66">
        <f t="shared" si="6"/>
        <v>-3.7353768362141243E-2</v>
      </c>
      <c r="AD96" s="66">
        <f t="shared" si="6"/>
        <v>-9.1631238469124479E-2</v>
      </c>
      <c r="AE96" s="66">
        <f t="shared" si="6"/>
        <v>-9.138717577903481E-2</v>
      </c>
      <c r="AF96" s="66">
        <f t="shared" si="6"/>
        <v>-0.16490892417715086</v>
      </c>
      <c r="AG96" s="66">
        <f t="shared" si="6"/>
        <v>-0.26436260802522404</v>
      </c>
      <c r="AH96" s="66">
        <f t="shared" si="6"/>
        <v>-0.1974537602785795</v>
      </c>
      <c r="AI96" s="66">
        <f t="shared" si="9"/>
        <v>-0.24799545515197341</v>
      </c>
      <c r="AJ96" s="66">
        <f t="shared" si="9"/>
        <v>-0.24647997177737729</v>
      </c>
      <c r="AK96" s="66">
        <f t="shared" si="9"/>
        <v>-0.11689671754501579</v>
      </c>
      <c r="AL96" s="66">
        <f t="shared" si="9"/>
        <v>-8.5767365988490635E-2</v>
      </c>
      <c r="AM96" s="66">
        <f t="shared" si="9"/>
        <v>-8.9273410046165458E-2</v>
      </c>
      <c r="AN96" s="66">
        <f t="shared" si="9"/>
        <v>-5.1212035236559643E-2</v>
      </c>
      <c r="AO96" s="21"/>
      <c r="AP96" s="21">
        <v>77.761899999999997</v>
      </c>
      <c r="AQ96" s="21">
        <v>84.772400000000005</v>
      </c>
      <c r="AR96" s="21">
        <v>82.355099999999993</v>
      </c>
      <c r="AS96" s="21">
        <v>75.788499999999999</v>
      </c>
      <c r="AT96" s="21">
        <v>69.520799999999994</v>
      </c>
      <c r="AU96" s="21">
        <v>49.508299999999998</v>
      </c>
      <c r="AV96" s="21">
        <v>49.462600000000002</v>
      </c>
      <c r="AW96" s="21">
        <v>41.668700000000001</v>
      </c>
      <c r="AX96" s="21">
        <v>112.294</v>
      </c>
      <c r="AY96" s="21">
        <v>110.345</v>
      </c>
      <c r="AZ96" s="21">
        <v>116.104</v>
      </c>
      <c r="BA96" s="21">
        <v>72.254499999999993</v>
      </c>
      <c r="BB96" s="21"/>
      <c r="BC96" s="21">
        <v>74.857200000000006</v>
      </c>
      <c r="BD96" s="21">
        <v>77.004599999999996</v>
      </c>
      <c r="BE96" s="21">
        <v>74.828900000000004</v>
      </c>
      <c r="BF96" s="21">
        <v>63.290300000000002</v>
      </c>
      <c r="BG96" s="21">
        <v>51.142099999999999</v>
      </c>
      <c r="BH96" s="21">
        <v>39.732700000000001</v>
      </c>
      <c r="BI96" s="21">
        <v>37.196100000000001</v>
      </c>
      <c r="BJ96" s="21">
        <v>31.398199999999999</v>
      </c>
      <c r="BK96" s="21">
        <v>99.167199999999994</v>
      </c>
      <c r="BL96" s="21">
        <v>100.881</v>
      </c>
      <c r="BM96" s="21">
        <v>105.739</v>
      </c>
      <c r="BN96" s="21">
        <v>68.554199999999994</v>
      </c>
    </row>
    <row r="97" spans="11:66" x14ac:dyDescent="0.4">
      <c r="K97" s="21">
        <v>960</v>
      </c>
      <c r="L97" s="21">
        <f t="shared" si="7"/>
        <v>1171200</v>
      </c>
      <c r="M97" s="66">
        <f t="shared" si="8"/>
        <v>2.5985378787038371</v>
      </c>
      <c r="N97" s="21"/>
      <c r="O97" s="21"/>
      <c r="P97" s="21"/>
      <c r="Q97" s="21"/>
      <c r="R97" s="21"/>
      <c r="S97" s="21"/>
      <c r="T97" s="21"/>
      <c r="U97" s="21"/>
      <c r="V97" s="21"/>
      <c r="W97" s="21"/>
      <c r="X97" s="21"/>
      <c r="Y97" s="21"/>
      <c r="Z97" s="21"/>
      <c r="AA97" s="21"/>
      <c r="AB97" s="21"/>
      <c r="AC97" s="66">
        <f t="shared" si="6"/>
        <v>-3.7353768362141243E-2</v>
      </c>
      <c r="AD97" s="66">
        <f t="shared" si="6"/>
        <v>-9.1631238469124479E-2</v>
      </c>
      <c r="AE97" s="66">
        <f t="shared" si="6"/>
        <v>-9.138717577903481E-2</v>
      </c>
      <c r="AF97" s="66">
        <f t="shared" si="6"/>
        <v>-0.16490892417715086</v>
      </c>
      <c r="AG97" s="66">
        <f t="shared" si="6"/>
        <v>-0.26436260802522404</v>
      </c>
      <c r="AH97" s="66">
        <f t="shared" si="6"/>
        <v>-0.1974537602785795</v>
      </c>
      <c r="AI97" s="66">
        <f t="shared" si="9"/>
        <v>-0.24799545515197341</v>
      </c>
      <c r="AJ97" s="66">
        <f t="shared" si="9"/>
        <v>-0.24768231310312061</v>
      </c>
      <c r="AK97" s="66">
        <f t="shared" si="9"/>
        <v>-0.11689671754501579</v>
      </c>
      <c r="AL97" s="66">
        <f t="shared" si="9"/>
        <v>-8.5767365988490635E-2</v>
      </c>
      <c r="AM97" s="66">
        <f t="shared" si="9"/>
        <v>-8.9273410046165458E-2</v>
      </c>
      <c r="AN97" s="66">
        <f t="shared" si="9"/>
        <v>-5.1212035236559643E-2</v>
      </c>
      <c r="AO97" s="21"/>
      <c r="AP97" s="21">
        <v>77.761899999999997</v>
      </c>
      <c r="AQ97" s="21">
        <v>84.772400000000005</v>
      </c>
      <c r="AR97" s="21">
        <v>82.355099999999993</v>
      </c>
      <c r="AS97" s="21">
        <v>75.788499999999999</v>
      </c>
      <c r="AT97" s="21">
        <v>69.520799999999994</v>
      </c>
      <c r="AU97" s="21">
        <v>49.508299999999998</v>
      </c>
      <c r="AV97" s="21">
        <v>49.462600000000002</v>
      </c>
      <c r="AW97" s="21">
        <v>41.668700000000001</v>
      </c>
      <c r="AX97" s="21">
        <v>112.294</v>
      </c>
      <c r="AY97" s="21">
        <v>110.345</v>
      </c>
      <c r="AZ97" s="21">
        <v>116.104</v>
      </c>
      <c r="BA97" s="21">
        <v>72.254499999999993</v>
      </c>
      <c r="BB97" s="21"/>
      <c r="BC97" s="21">
        <v>74.857200000000006</v>
      </c>
      <c r="BD97" s="21">
        <v>77.004599999999996</v>
      </c>
      <c r="BE97" s="21">
        <v>74.828900000000004</v>
      </c>
      <c r="BF97" s="21">
        <v>63.290300000000002</v>
      </c>
      <c r="BG97" s="21">
        <v>51.142099999999999</v>
      </c>
      <c r="BH97" s="21">
        <v>39.732700000000001</v>
      </c>
      <c r="BI97" s="21">
        <v>37.196100000000001</v>
      </c>
      <c r="BJ97" s="21">
        <v>31.348099999999999</v>
      </c>
      <c r="BK97" s="21">
        <v>99.167199999999994</v>
      </c>
      <c r="BL97" s="21">
        <v>100.881</v>
      </c>
      <c r="BM97" s="21">
        <v>105.739</v>
      </c>
      <c r="BN97" s="21">
        <v>68.554199999999994</v>
      </c>
    </row>
    <row r="98" spans="11:66" x14ac:dyDescent="0.4">
      <c r="K98" s="21">
        <v>970</v>
      </c>
      <c r="L98" s="21">
        <f t="shared" si="7"/>
        <v>1183400</v>
      </c>
      <c r="M98" s="66">
        <f t="shared" si="8"/>
        <v>2.6256059816070021</v>
      </c>
      <c r="N98" s="21"/>
      <c r="O98" s="21"/>
      <c r="P98" s="21"/>
      <c r="Q98" s="21"/>
      <c r="R98" s="21"/>
      <c r="S98" s="21"/>
      <c r="T98" s="21"/>
      <c r="U98" s="21"/>
      <c r="V98" s="21"/>
      <c r="W98" s="21"/>
      <c r="X98" s="21"/>
      <c r="Y98" s="21"/>
      <c r="Z98" s="21"/>
      <c r="AA98" s="21"/>
      <c r="AB98" s="21"/>
      <c r="AC98" s="66">
        <f t="shared" si="6"/>
        <v>-3.7353768362141243E-2</v>
      </c>
      <c r="AD98" s="66">
        <f t="shared" si="6"/>
        <v>-9.1631238469124479E-2</v>
      </c>
      <c r="AE98" s="66">
        <f t="shared" si="6"/>
        <v>-9.138717577903481E-2</v>
      </c>
      <c r="AF98" s="66">
        <f t="shared" si="6"/>
        <v>-0.16490892417715086</v>
      </c>
      <c r="AG98" s="66">
        <f t="shared" si="6"/>
        <v>-0.26436260802522404</v>
      </c>
      <c r="AH98" s="66">
        <f t="shared" si="6"/>
        <v>-0.1974537602785795</v>
      </c>
      <c r="AI98" s="66">
        <f t="shared" si="9"/>
        <v>-0.24799545515197341</v>
      </c>
      <c r="AJ98" s="66">
        <f t="shared" si="9"/>
        <v>-0.24888225454597815</v>
      </c>
      <c r="AK98" s="66">
        <f t="shared" si="9"/>
        <v>-0.11689671754501579</v>
      </c>
      <c r="AL98" s="66">
        <f t="shared" si="9"/>
        <v>-8.5767365988490635E-2</v>
      </c>
      <c r="AM98" s="66">
        <f t="shared" si="9"/>
        <v>-8.9273410046165458E-2</v>
      </c>
      <c r="AN98" s="66">
        <f t="shared" si="9"/>
        <v>-5.1212035236559643E-2</v>
      </c>
      <c r="AO98" s="21"/>
      <c r="AP98" s="21">
        <v>77.761899999999997</v>
      </c>
      <c r="AQ98" s="21">
        <v>84.772400000000005</v>
      </c>
      <c r="AR98" s="21">
        <v>82.355099999999993</v>
      </c>
      <c r="AS98" s="21">
        <v>75.788499999999999</v>
      </c>
      <c r="AT98" s="21">
        <v>69.520799999999994</v>
      </c>
      <c r="AU98" s="21">
        <v>49.508299999999998</v>
      </c>
      <c r="AV98" s="21">
        <v>49.462600000000002</v>
      </c>
      <c r="AW98" s="21">
        <v>41.668700000000001</v>
      </c>
      <c r="AX98" s="21">
        <v>112.294</v>
      </c>
      <c r="AY98" s="21">
        <v>110.345</v>
      </c>
      <c r="AZ98" s="21">
        <v>116.104</v>
      </c>
      <c r="BA98" s="21">
        <v>72.254499999999993</v>
      </c>
      <c r="BB98" s="21"/>
      <c r="BC98" s="21">
        <v>74.857200000000006</v>
      </c>
      <c r="BD98" s="21">
        <v>77.004599999999996</v>
      </c>
      <c r="BE98" s="21">
        <v>74.828900000000004</v>
      </c>
      <c r="BF98" s="21">
        <v>63.290300000000002</v>
      </c>
      <c r="BG98" s="21">
        <v>51.142099999999999</v>
      </c>
      <c r="BH98" s="21">
        <v>39.732700000000001</v>
      </c>
      <c r="BI98" s="21">
        <v>37.196100000000001</v>
      </c>
      <c r="BJ98" s="21">
        <v>31.298100000000002</v>
      </c>
      <c r="BK98" s="21">
        <v>99.167199999999994</v>
      </c>
      <c r="BL98" s="21">
        <v>100.881</v>
      </c>
      <c r="BM98" s="21">
        <v>105.739</v>
      </c>
      <c r="BN98" s="21">
        <v>68.554199999999994</v>
      </c>
    </row>
    <row r="99" spans="11:66" x14ac:dyDescent="0.4">
      <c r="K99" s="21">
        <v>980</v>
      </c>
      <c r="L99" s="21">
        <f t="shared" si="7"/>
        <v>1195600</v>
      </c>
      <c r="M99" s="66">
        <f t="shared" si="8"/>
        <v>2.6526740845101671</v>
      </c>
      <c r="N99" s="21"/>
      <c r="O99" s="21"/>
      <c r="P99" s="21"/>
      <c r="Q99" s="21"/>
      <c r="R99" s="21"/>
      <c r="S99" s="21"/>
      <c r="T99" s="21"/>
      <c r="U99" s="21"/>
      <c r="V99" s="21"/>
      <c r="W99" s="21"/>
      <c r="X99" s="21"/>
      <c r="Y99" s="21"/>
      <c r="Z99" s="21"/>
      <c r="AA99" s="21"/>
      <c r="AB99" s="21"/>
      <c r="AC99" s="66">
        <f t="shared" si="6"/>
        <v>-3.7353768362141243E-2</v>
      </c>
      <c r="AD99" s="66">
        <f t="shared" si="6"/>
        <v>-9.1631238469124479E-2</v>
      </c>
      <c r="AE99" s="66">
        <f t="shared" si="6"/>
        <v>-9.138717577903481E-2</v>
      </c>
      <c r="AF99" s="66">
        <f t="shared" si="6"/>
        <v>-0.16490892417715086</v>
      </c>
      <c r="AG99" s="66">
        <f t="shared" si="6"/>
        <v>-0.26436260802522404</v>
      </c>
      <c r="AH99" s="66">
        <f t="shared" si="6"/>
        <v>-0.1974537602785795</v>
      </c>
      <c r="AI99" s="66">
        <f t="shared" si="9"/>
        <v>-0.24799545515197341</v>
      </c>
      <c r="AJ99" s="66">
        <f t="shared" si="9"/>
        <v>-0.25008459587172144</v>
      </c>
      <c r="AK99" s="66">
        <f t="shared" si="9"/>
        <v>-0.11689671754501579</v>
      </c>
      <c r="AL99" s="66">
        <f t="shared" si="9"/>
        <v>-8.5767365988490635E-2</v>
      </c>
      <c r="AM99" s="66">
        <f t="shared" si="9"/>
        <v>-8.9273410046165458E-2</v>
      </c>
      <c r="AN99" s="66">
        <f t="shared" si="9"/>
        <v>-5.1212035236559643E-2</v>
      </c>
      <c r="AO99" s="21"/>
      <c r="AP99" s="21">
        <v>77.761899999999997</v>
      </c>
      <c r="AQ99" s="21">
        <v>84.772400000000005</v>
      </c>
      <c r="AR99" s="21">
        <v>82.355099999999993</v>
      </c>
      <c r="AS99" s="21">
        <v>75.788499999999999</v>
      </c>
      <c r="AT99" s="21">
        <v>69.520799999999994</v>
      </c>
      <c r="AU99" s="21">
        <v>49.508299999999998</v>
      </c>
      <c r="AV99" s="21">
        <v>49.462600000000002</v>
      </c>
      <c r="AW99" s="21">
        <v>41.668700000000001</v>
      </c>
      <c r="AX99" s="21">
        <v>112.294</v>
      </c>
      <c r="AY99" s="21">
        <v>110.345</v>
      </c>
      <c r="AZ99" s="21">
        <v>116.104</v>
      </c>
      <c r="BA99" s="21">
        <v>72.254499999999993</v>
      </c>
      <c r="BB99" s="21"/>
      <c r="BC99" s="21">
        <v>74.857200000000006</v>
      </c>
      <c r="BD99" s="21">
        <v>77.004599999999996</v>
      </c>
      <c r="BE99" s="21">
        <v>74.828900000000004</v>
      </c>
      <c r="BF99" s="21">
        <v>63.290300000000002</v>
      </c>
      <c r="BG99" s="21">
        <v>51.142099999999999</v>
      </c>
      <c r="BH99" s="21">
        <v>39.732700000000001</v>
      </c>
      <c r="BI99" s="21">
        <v>37.196100000000001</v>
      </c>
      <c r="BJ99" s="21">
        <v>31.248000000000001</v>
      </c>
      <c r="BK99" s="21">
        <v>99.167199999999994</v>
      </c>
      <c r="BL99" s="21">
        <v>100.881</v>
      </c>
      <c r="BM99" s="21">
        <v>105.739</v>
      </c>
      <c r="BN99" s="21">
        <v>68.554199999999994</v>
      </c>
    </row>
    <row r="100" spans="11:66" x14ac:dyDescent="0.4">
      <c r="K100" s="21">
        <v>990</v>
      </c>
      <c r="L100" s="21">
        <f t="shared" si="7"/>
        <v>1207800</v>
      </c>
      <c r="M100" s="66">
        <f t="shared" si="8"/>
        <v>2.679742187413332</v>
      </c>
      <c r="N100" s="21"/>
      <c r="O100" s="21"/>
      <c r="P100" s="21"/>
      <c r="Q100" s="21"/>
      <c r="R100" s="21"/>
      <c r="S100" s="21"/>
      <c r="T100" s="21"/>
      <c r="U100" s="21"/>
      <c r="V100" s="21"/>
      <c r="W100" s="21"/>
      <c r="X100" s="21"/>
      <c r="Y100" s="21"/>
      <c r="Z100" s="21"/>
      <c r="AA100" s="21"/>
      <c r="AB100" s="21"/>
      <c r="AC100" s="66">
        <f t="shared" si="6"/>
        <v>-3.7353768362141243E-2</v>
      </c>
      <c r="AD100" s="66">
        <f t="shared" si="6"/>
        <v>-9.1631238469124479E-2</v>
      </c>
      <c r="AE100" s="66">
        <f t="shared" si="6"/>
        <v>-9.138717577903481E-2</v>
      </c>
      <c r="AF100" s="66">
        <f t="shared" si="6"/>
        <v>-0.16490892417715086</v>
      </c>
      <c r="AG100" s="66">
        <f t="shared" si="6"/>
        <v>-0.26436260802522404</v>
      </c>
      <c r="AH100" s="66">
        <f t="shared" si="6"/>
        <v>-0.1974537602785795</v>
      </c>
      <c r="AI100" s="66">
        <f t="shared" si="9"/>
        <v>-0.24799545515197341</v>
      </c>
      <c r="AJ100" s="66">
        <f t="shared" si="9"/>
        <v>-0.25128453731457906</v>
      </c>
      <c r="AK100" s="66">
        <f t="shared" si="9"/>
        <v>-0.11689671754501579</v>
      </c>
      <c r="AL100" s="66">
        <f t="shared" si="9"/>
        <v>-8.5767365988490635E-2</v>
      </c>
      <c r="AM100" s="66">
        <f t="shared" si="9"/>
        <v>-8.9273410046165458E-2</v>
      </c>
      <c r="AN100" s="66">
        <f t="shared" si="9"/>
        <v>-5.1212035236559643E-2</v>
      </c>
      <c r="AO100" s="21"/>
      <c r="AP100" s="21">
        <v>77.761899999999997</v>
      </c>
      <c r="AQ100" s="21">
        <v>84.772400000000005</v>
      </c>
      <c r="AR100" s="21">
        <v>82.355099999999993</v>
      </c>
      <c r="AS100" s="21">
        <v>75.788499999999999</v>
      </c>
      <c r="AT100" s="21">
        <v>69.520799999999994</v>
      </c>
      <c r="AU100" s="21">
        <v>49.508299999999998</v>
      </c>
      <c r="AV100" s="21">
        <v>49.462600000000002</v>
      </c>
      <c r="AW100" s="21">
        <v>41.668700000000001</v>
      </c>
      <c r="AX100" s="21">
        <v>112.294</v>
      </c>
      <c r="AY100" s="21">
        <v>110.345</v>
      </c>
      <c r="AZ100" s="21">
        <v>116.104</v>
      </c>
      <c r="BA100" s="21">
        <v>72.254499999999993</v>
      </c>
      <c r="BB100" s="21"/>
      <c r="BC100" s="21">
        <v>74.857200000000006</v>
      </c>
      <c r="BD100" s="21">
        <v>77.004599999999996</v>
      </c>
      <c r="BE100" s="21">
        <v>74.828900000000004</v>
      </c>
      <c r="BF100" s="21">
        <v>63.290300000000002</v>
      </c>
      <c r="BG100" s="21">
        <v>51.142099999999999</v>
      </c>
      <c r="BH100" s="21">
        <v>39.732700000000001</v>
      </c>
      <c r="BI100" s="21">
        <v>37.196100000000001</v>
      </c>
      <c r="BJ100" s="21">
        <v>31.198</v>
      </c>
      <c r="BK100" s="21">
        <v>99.167199999999994</v>
      </c>
      <c r="BL100" s="21">
        <v>100.881</v>
      </c>
      <c r="BM100" s="21">
        <v>105.739</v>
      </c>
      <c r="BN100" s="21">
        <v>68.554199999999994</v>
      </c>
    </row>
    <row r="101" spans="11:66" x14ac:dyDescent="0.4">
      <c r="K101" s="21">
        <v>1000</v>
      </c>
      <c r="L101" s="21">
        <f t="shared" si="7"/>
        <v>1220000</v>
      </c>
      <c r="M101" s="66">
        <f t="shared" si="8"/>
        <v>2.706810290316497</v>
      </c>
      <c r="N101" s="21"/>
      <c r="O101" s="21"/>
      <c r="P101" s="21"/>
      <c r="Q101" s="21"/>
      <c r="R101" s="21"/>
      <c r="S101" s="21"/>
      <c r="T101" s="21"/>
      <c r="U101" s="21"/>
      <c r="V101" s="21"/>
      <c r="W101" s="21"/>
      <c r="X101" s="21"/>
      <c r="Y101" s="21"/>
      <c r="Z101" s="21"/>
      <c r="AA101" s="21"/>
      <c r="AB101" s="21"/>
      <c r="AC101" s="66">
        <f t="shared" si="6"/>
        <v>-3.7353768362141243E-2</v>
      </c>
      <c r="AD101" s="66">
        <f t="shared" si="6"/>
        <v>-9.1631238469124479E-2</v>
      </c>
      <c r="AE101" s="66">
        <f t="shared" si="6"/>
        <v>-9.138717577903481E-2</v>
      </c>
      <c r="AF101" s="66">
        <f t="shared" si="6"/>
        <v>-0.16490892417715086</v>
      </c>
      <c r="AG101" s="66">
        <f t="shared" si="6"/>
        <v>-0.26436260802522404</v>
      </c>
      <c r="AH101" s="66">
        <f t="shared" si="6"/>
        <v>-0.1974537602785795</v>
      </c>
      <c r="AI101" s="66">
        <f t="shared" si="9"/>
        <v>-0.24799545515197341</v>
      </c>
      <c r="AJ101" s="66">
        <f t="shared" si="9"/>
        <v>-0.25248687864032238</v>
      </c>
      <c r="AK101" s="66">
        <f t="shared" si="9"/>
        <v>-0.11689671754501579</v>
      </c>
      <c r="AL101" s="66">
        <f t="shared" si="9"/>
        <v>-8.5767365988490635E-2</v>
      </c>
      <c r="AM101" s="66">
        <f t="shared" si="9"/>
        <v>-8.9273410046165458E-2</v>
      </c>
      <c r="AN101" s="66">
        <f t="shared" si="9"/>
        <v>-5.1212035236559643E-2</v>
      </c>
      <c r="AO101" s="21"/>
      <c r="AP101" s="21">
        <v>77.761899999999997</v>
      </c>
      <c r="AQ101" s="21">
        <v>84.772400000000005</v>
      </c>
      <c r="AR101" s="21">
        <v>82.355099999999993</v>
      </c>
      <c r="AS101" s="21">
        <v>75.788499999999999</v>
      </c>
      <c r="AT101" s="21">
        <v>69.520799999999994</v>
      </c>
      <c r="AU101" s="21">
        <v>49.508299999999998</v>
      </c>
      <c r="AV101" s="21">
        <v>49.462600000000002</v>
      </c>
      <c r="AW101" s="21">
        <v>41.668700000000001</v>
      </c>
      <c r="AX101" s="21">
        <v>112.294</v>
      </c>
      <c r="AY101" s="21">
        <v>110.345</v>
      </c>
      <c r="AZ101" s="21">
        <v>116.104</v>
      </c>
      <c r="BA101" s="21">
        <v>72.254499999999993</v>
      </c>
      <c r="BB101" s="21"/>
      <c r="BC101" s="21">
        <v>74.857200000000006</v>
      </c>
      <c r="BD101" s="21">
        <v>77.004599999999996</v>
      </c>
      <c r="BE101" s="21">
        <v>74.828900000000004</v>
      </c>
      <c r="BF101" s="21">
        <v>63.290300000000002</v>
      </c>
      <c r="BG101" s="21">
        <v>51.142099999999999</v>
      </c>
      <c r="BH101" s="21">
        <v>39.732700000000001</v>
      </c>
      <c r="BI101" s="21">
        <v>37.196100000000001</v>
      </c>
      <c r="BJ101" s="21">
        <v>31.1479</v>
      </c>
      <c r="BK101" s="21">
        <v>99.167199999999994</v>
      </c>
      <c r="BL101" s="21">
        <v>100.881</v>
      </c>
      <c r="BM101" s="21">
        <v>105.739</v>
      </c>
      <c r="BN101" s="21">
        <v>68.554199999999994</v>
      </c>
    </row>
  </sheetData>
  <sheetProtection algorithmName="SHA-512" hashValue="2oagR5+MxuYqJYpuRUpyXGDY5n6odL7RFJjJziR5rDaoYqDj5E5/4es1IE0SWLqR+NMYXCQSzOIpmdzvEipSuQ==" saltValue="I2pt7cRGOTqXBtFSZ0V59w==" spinCount="100000" sheet="1" objects="1" scenarios="1"/>
  <mergeCells count="3">
    <mergeCell ref="B2:F2"/>
    <mergeCell ref="B3:F3"/>
    <mergeCell ref="B4:F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E14"/>
  <sheetViews>
    <sheetView workbookViewId="0">
      <selection activeCell="A2" sqref="A2:D2"/>
    </sheetView>
  </sheetViews>
  <sheetFormatPr defaultRowHeight="14.6" x14ac:dyDescent="0.4"/>
  <cols>
    <col min="1" max="1" width="47.69140625" bestFit="1" customWidth="1"/>
    <col min="2" max="2" width="11.15234375" bestFit="1" customWidth="1"/>
    <col min="3" max="3" width="13.3828125" bestFit="1" customWidth="1"/>
    <col min="4" max="4" width="75.3046875" bestFit="1" customWidth="1"/>
  </cols>
  <sheetData>
    <row r="1" spans="1:5" x14ac:dyDescent="0.4">
      <c r="A1" s="9" t="s">
        <v>7</v>
      </c>
      <c r="B1" s="10" t="s">
        <v>8</v>
      </c>
      <c r="C1" s="10" t="s">
        <v>9</v>
      </c>
      <c r="D1" s="10" t="s">
        <v>10</v>
      </c>
      <c r="E1" s="21"/>
    </row>
    <row r="2" spans="1:5" x14ac:dyDescent="0.4">
      <c r="A2" s="11" t="s">
        <v>11</v>
      </c>
      <c r="B2" s="12" t="e">
        <f>Summary!#REF!/12</f>
        <v>#REF!</v>
      </c>
      <c r="C2" s="11" t="s">
        <v>12</v>
      </c>
      <c r="D2" s="13"/>
      <c r="E2" s="21"/>
    </row>
    <row r="3" spans="1:5" x14ac:dyDescent="0.4">
      <c r="A3" s="11" t="s">
        <v>13</v>
      </c>
      <c r="B3" s="12" t="e">
        <f>B2*1000</f>
        <v>#REF!</v>
      </c>
      <c r="C3" s="11" t="s">
        <v>14</v>
      </c>
      <c r="D3" s="13"/>
      <c r="E3" s="21" t="s">
        <v>15</v>
      </c>
    </row>
    <row r="4" spans="1:5" x14ac:dyDescent="0.4">
      <c r="A4" s="11" t="s">
        <v>16</v>
      </c>
      <c r="B4" s="12" t="e">
        <f>B3/30</f>
        <v>#REF!</v>
      </c>
      <c r="C4" s="11" t="s">
        <v>17</v>
      </c>
      <c r="D4" s="13"/>
      <c r="E4" s="21" t="s">
        <v>18</v>
      </c>
    </row>
    <row r="5" spans="1:5" x14ac:dyDescent="0.4">
      <c r="A5" s="11" t="s">
        <v>19</v>
      </c>
      <c r="B5" s="12" t="e">
        <f>B4/4.4</f>
        <v>#REF!</v>
      </c>
      <c r="C5" s="11" t="s">
        <v>20</v>
      </c>
      <c r="D5" s="13" t="s">
        <v>21</v>
      </c>
      <c r="E5" s="21" t="s">
        <v>22</v>
      </c>
    </row>
    <row r="6" spans="1:5" x14ac:dyDescent="0.4">
      <c r="A6" s="11" t="s">
        <v>23</v>
      </c>
      <c r="B6" s="12" t="e">
        <f>B5/0.77</f>
        <v>#REF!</v>
      </c>
      <c r="C6" s="11" t="s">
        <v>20</v>
      </c>
      <c r="D6" s="13" t="s">
        <v>24</v>
      </c>
      <c r="E6" s="21" t="s">
        <v>25</v>
      </c>
    </row>
    <row r="7" spans="1:5" x14ac:dyDescent="0.4">
      <c r="A7" s="14" t="s">
        <v>26</v>
      </c>
      <c r="B7" s="15" t="e">
        <f>B6/1000</f>
        <v>#REF!</v>
      </c>
      <c r="C7" s="14" t="s">
        <v>27</v>
      </c>
      <c r="D7" s="13"/>
      <c r="E7" s="21" t="s">
        <v>28</v>
      </c>
    </row>
    <row r="8" spans="1:5" x14ac:dyDescent="0.4">
      <c r="B8" s="33"/>
    </row>
    <row r="9" spans="1:5" x14ac:dyDescent="0.4">
      <c r="A9" s="16" t="s">
        <v>29</v>
      </c>
      <c r="B9" s="21"/>
      <c r="C9" s="21"/>
      <c r="D9" s="21"/>
      <c r="E9" s="21"/>
    </row>
    <row r="10" spans="1:5" x14ac:dyDescent="0.4">
      <c r="A10" s="21">
        <v>200</v>
      </c>
      <c r="B10" s="21"/>
      <c r="C10" s="21"/>
      <c r="D10" s="21"/>
      <c r="E10" s="21"/>
    </row>
    <row r="11" spans="1:5" x14ac:dyDescent="0.4">
      <c r="A11" s="21">
        <v>250</v>
      </c>
      <c r="B11" s="21"/>
      <c r="C11" s="21"/>
      <c r="D11" s="21"/>
      <c r="E11" s="21"/>
    </row>
    <row r="12" spans="1:5" x14ac:dyDescent="0.4">
      <c r="A12" s="21">
        <v>300</v>
      </c>
      <c r="B12" s="21"/>
      <c r="C12" s="21"/>
      <c r="D12" s="21"/>
      <c r="E12" s="21"/>
    </row>
    <row r="13" spans="1:5" x14ac:dyDescent="0.4">
      <c r="A13" s="21">
        <v>350</v>
      </c>
      <c r="B13" s="21"/>
      <c r="C13" s="21"/>
      <c r="D13" s="21"/>
      <c r="E13" s="21"/>
    </row>
    <row r="14" spans="1:5" x14ac:dyDescent="0.4">
      <c r="A14" s="21">
        <v>400</v>
      </c>
      <c r="B14" s="21"/>
      <c r="C14" s="21"/>
      <c r="D14" s="21"/>
      <c r="E14"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5397"/>
  </sheetPr>
  <dimension ref="A1:AG345"/>
  <sheetViews>
    <sheetView tabSelected="1" topLeftCell="A55" zoomScale="90" zoomScaleNormal="90" workbookViewId="0">
      <selection activeCell="H58" sqref="H58"/>
    </sheetView>
  </sheetViews>
  <sheetFormatPr defaultColWidth="8.84375" defaultRowHeight="14.6" x14ac:dyDescent="0.4"/>
  <cols>
    <col min="1" max="1" width="2.15234375" style="1" customWidth="1"/>
    <col min="2" max="2" width="5.69140625" style="1" customWidth="1"/>
    <col min="3" max="3" width="16.69140625" style="34" customWidth="1"/>
    <col min="4" max="4" width="22.3046875" style="34" bestFit="1" customWidth="1"/>
    <col min="5" max="7" width="22" style="34" bestFit="1" customWidth="1"/>
    <col min="8" max="8" width="21.84375" style="34" customWidth="1"/>
    <col min="9" max="9" width="22.69140625" style="34" customWidth="1"/>
    <col min="10" max="10" width="23.69140625" style="34" customWidth="1"/>
    <col min="11" max="11" width="27.15234375" style="1" customWidth="1"/>
    <col min="12" max="21" width="11.3046875" style="1" customWidth="1"/>
    <col min="22" max="22" width="22.3828125" style="34" bestFit="1" customWidth="1"/>
    <col min="23" max="23" width="22.3828125" style="34" customWidth="1"/>
    <col min="24" max="24" width="14.3046875" style="34" customWidth="1"/>
    <col min="25" max="25" width="15.3046875" style="34" bestFit="1" customWidth="1"/>
    <col min="26" max="26" width="11.69140625" style="34" bestFit="1" customWidth="1"/>
    <col min="27" max="27" width="23.3828125" style="34" bestFit="1" customWidth="1"/>
    <col min="28" max="28" width="25.3046875" style="34" bestFit="1" customWidth="1"/>
    <col min="29" max="29" width="10" style="34" bestFit="1" customWidth="1"/>
    <col min="30" max="30" width="12.15234375" style="34" bestFit="1" customWidth="1"/>
    <col min="31" max="31" width="23.3828125" style="34" bestFit="1" customWidth="1"/>
    <col min="32" max="32" width="18.69140625" style="34" bestFit="1" customWidth="1"/>
    <col min="33" max="33" width="8.84375" style="34"/>
    <col min="34" max="34" width="10.53515625" style="34" bestFit="1" customWidth="1"/>
    <col min="35" max="16384" width="8.84375" style="34"/>
  </cols>
  <sheetData>
    <row r="1" spans="1:33" x14ac:dyDescent="0.4">
      <c r="C1" s="1"/>
      <c r="D1" s="1"/>
      <c r="E1" s="1"/>
      <c r="F1" s="1"/>
      <c r="G1" s="1"/>
      <c r="H1" s="1"/>
      <c r="I1" s="1"/>
      <c r="J1" s="1"/>
      <c r="V1" s="105"/>
      <c r="W1" s="105"/>
      <c r="X1" s="105"/>
      <c r="Y1" s="105"/>
      <c r="Z1" s="105"/>
      <c r="AA1" s="105"/>
      <c r="AB1" s="105"/>
      <c r="AC1" s="105"/>
      <c r="AD1" s="105"/>
      <c r="AE1" s="105"/>
      <c r="AF1" s="105"/>
      <c r="AG1" s="105"/>
    </row>
    <row r="2" spans="1:33" ht="25.95" customHeight="1" x14ac:dyDescent="0.5">
      <c r="C2" s="161" t="s">
        <v>160</v>
      </c>
      <c r="D2" s="162"/>
      <c r="E2" s="162"/>
      <c r="F2" s="162"/>
      <c r="G2" s="162"/>
      <c r="H2" s="162"/>
      <c r="I2" s="162"/>
      <c r="J2" s="162"/>
      <c r="K2" s="163"/>
      <c r="V2" s="158" t="s">
        <v>144</v>
      </c>
      <c r="W2" s="159"/>
      <c r="X2" s="159"/>
      <c r="Y2" s="159"/>
      <c r="Z2" s="159"/>
      <c r="AA2" s="159"/>
      <c r="AB2" s="159"/>
      <c r="AC2" s="159"/>
      <c r="AD2" s="159"/>
      <c r="AE2" s="159"/>
      <c r="AF2" s="159"/>
      <c r="AG2" s="105" t="s">
        <v>69</v>
      </c>
    </row>
    <row r="3" spans="1:33" ht="43.75" x14ac:dyDescent="0.4">
      <c r="C3" s="164" t="s">
        <v>40</v>
      </c>
      <c r="D3" s="165"/>
      <c r="E3" s="165"/>
      <c r="F3" s="165"/>
      <c r="G3" s="165"/>
      <c r="H3" s="165"/>
      <c r="I3" s="165"/>
      <c r="J3" s="165"/>
      <c r="K3" s="166"/>
      <c r="V3" s="90"/>
      <c r="W3" s="90" t="s">
        <v>130</v>
      </c>
      <c r="X3" s="90" t="s">
        <v>129</v>
      </c>
      <c r="Y3" s="91" t="s">
        <v>131</v>
      </c>
      <c r="Z3" s="91" t="s">
        <v>103</v>
      </c>
      <c r="AA3" s="91" t="s">
        <v>121</v>
      </c>
      <c r="AB3" s="91" t="s">
        <v>120</v>
      </c>
      <c r="AC3" s="91" t="s">
        <v>125</v>
      </c>
      <c r="AD3" s="91" t="s">
        <v>123</v>
      </c>
      <c r="AE3" s="91" t="s">
        <v>124</v>
      </c>
      <c r="AF3" s="91" t="s">
        <v>122</v>
      </c>
      <c r="AG3" s="105" t="s">
        <v>111</v>
      </c>
    </row>
    <row r="4" spans="1:33" ht="21" customHeight="1" thickBot="1" x14ac:dyDescent="0.45">
      <c r="B4" s="2"/>
      <c r="C4" s="1"/>
      <c r="D4" s="1"/>
      <c r="E4" s="3"/>
      <c r="F4" s="3"/>
      <c r="G4" s="3"/>
      <c r="H4" s="3"/>
      <c r="I4" s="1"/>
      <c r="J4" s="1"/>
      <c r="V4" s="90" t="s">
        <v>117</v>
      </c>
      <c r="W4" s="90"/>
      <c r="X4" s="90"/>
      <c r="Y4" s="90"/>
      <c r="Z4" s="90">
        <f>10.71</f>
        <v>10.71</v>
      </c>
      <c r="AA4" s="90">
        <v>15.25</v>
      </c>
      <c r="AB4" s="90">
        <v>3.5770000000000003E-2</v>
      </c>
      <c r="AC4" s="92">
        <v>2.6859999999999998E-2</v>
      </c>
      <c r="AD4" s="90">
        <f>0.001318+0.001813</f>
        <v>3.1310000000000001E-3</v>
      </c>
      <c r="AE4" s="90"/>
      <c r="AF4" s="93">
        <f>AB4+AC4+AD4+AE4</f>
        <v>6.5761E-2</v>
      </c>
      <c r="AG4" s="105"/>
    </row>
    <row r="5" spans="1:33" ht="21" customHeight="1" x14ac:dyDescent="0.4">
      <c r="B5" s="2"/>
      <c r="C5" s="170" t="s">
        <v>60</v>
      </c>
      <c r="D5" s="171"/>
      <c r="E5" s="171"/>
      <c r="F5" s="171"/>
      <c r="G5" s="171"/>
      <c r="H5" s="171"/>
      <c r="I5" s="171"/>
      <c r="J5" s="171"/>
      <c r="K5" s="172"/>
      <c r="V5" s="90" t="s">
        <v>118</v>
      </c>
      <c r="W5" s="90"/>
      <c r="X5" s="90"/>
      <c r="Y5" s="90"/>
      <c r="Z5" s="90">
        <f>10.71</f>
        <v>10.71</v>
      </c>
      <c r="AA5" s="90">
        <v>15.25</v>
      </c>
      <c r="AB5" s="90">
        <v>3.5770000000000003E-2</v>
      </c>
      <c r="AC5" s="92">
        <v>2.6859999999999998E-2</v>
      </c>
      <c r="AD5" s="90">
        <f>0.001318+0.001813</f>
        <v>3.1310000000000001E-3</v>
      </c>
      <c r="AE5" s="90"/>
      <c r="AF5" s="93">
        <f>AB5+AC5+AD5+AE5</f>
        <v>6.5761E-2</v>
      </c>
      <c r="AG5" s="105"/>
    </row>
    <row r="6" spans="1:33" ht="30" customHeight="1" x14ac:dyDescent="0.4">
      <c r="B6" s="2"/>
      <c r="C6" s="173" t="s">
        <v>67</v>
      </c>
      <c r="D6" s="174"/>
      <c r="E6" s="174"/>
      <c r="F6" s="174"/>
      <c r="G6" s="174"/>
      <c r="H6" s="174"/>
      <c r="I6" s="174"/>
      <c r="J6" s="174"/>
      <c r="K6" s="175"/>
      <c r="V6" s="90" t="s">
        <v>119</v>
      </c>
      <c r="W6" s="94">
        <v>7.9649999999999999E-2</v>
      </c>
      <c r="X6" s="94">
        <v>9.5140000000000002E-2</v>
      </c>
      <c r="Y6" s="95">
        <f>0.396747757*X6+(1-0.396747757)*W6</f>
        <v>8.5795622755930001E-2</v>
      </c>
      <c r="Z6" s="90"/>
      <c r="AA6" s="90"/>
      <c r="AB6" s="96">
        <v>9.7280000000000005E-2</v>
      </c>
      <c r="AC6" s="92">
        <v>2.6859999999999998E-2</v>
      </c>
      <c r="AD6" s="90">
        <f>0.001318+0.001813</f>
        <v>3.1310000000000001E-3</v>
      </c>
      <c r="AE6" s="97">
        <v>1.245E-3</v>
      </c>
      <c r="AF6" s="93">
        <f>AB6+AC6+AD6+AE6</f>
        <v>0.12851599999999999</v>
      </c>
      <c r="AG6" s="105"/>
    </row>
    <row r="7" spans="1:33" ht="33.75" customHeight="1" x14ac:dyDescent="0.4">
      <c r="B7" s="2"/>
      <c r="C7" s="173" t="s">
        <v>62</v>
      </c>
      <c r="D7" s="174"/>
      <c r="E7" s="174"/>
      <c r="F7" s="174"/>
      <c r="G7" s="174"/>
      <c r="H7" s="174"/>
      <c r="I7" s="174"/>
      <c r="J7" s="174"/>
      <c r="K7" s="175"/>
      <c r="V7" s="160" t="s">
        <v>126</v>
      </c>
      <c r="W7" s="160"/>
      <c r="X7" s="160"/>
      <c r="Y7" s="160"/>
      <c r="Z7" s="160"/>
      <c r="AA7" s="160"/>
      <c r="AB7" s="160"/>
      <c r="AC7" s="160"/>
      <c r="AD7" s="160"/>
      <c r="AE7" s="160"/>
      <c r="AF7" s="160"/>
      <c r="AG7" s="105"/>
    </row>
    <row r="8" spans="1:33" ht="50.25" customHeight="1" x14ac:dyDescent="0.4">
      <c r="B8" s="2"/>
      <c r="C8" s="173" t="s">
        <v>151</v>
      </c>
      <c r="D8" s="174"/>
      <c r="E8" s="174"/>
      <c r="F8" s="174"/>
      <c r="G8" s="174"/>
      <c r="H8" s="174"/>
      <c r="I8" s="174"/>
      <c r="J8" s="174"/>
      <c r="K8" s="175"/>
      <c r="V8" s="105" t="s">
        <v>127</v>
      </c>
      <c r="W8" s="105"/>
      <c r="X8" s="105"/>
      <c r="Y8" s="105"/>
      <c r="Z8" s="105"/>
      <c r="AA8" s="105"/>
      <c r="AB8" s="105"/>
      <c r="AC8" s="105"/>
      <c r="AD8" s="105"/>
      <c r="AE8" s="105"/>
      <c r="AF8" s="105"/>
      <c r="AG8" s="105"/>
    </row>
    <row r="9" spans="1:33" s="76" customFormat="1" ht="34.5" customHeight="1" x14ac:dyDescent="0.4">
      <c r="A9" s="73"/>
      <c r="B9" s="74"/>
      <c r="C9" s="188" t="s">
        <v>141</v>
      </c>
      <c r="D9" s="189"/>
      <c r="E9" s="189"/>
      <c r="F9" s="189"/>
      <c r="G9" s="189"/>
      <c r="H9" s="189"/>
      <c r="I9" s="189"/>
      <c r="J9" s="189"/>
      <c r="K9" s="190"/>
      <c r="L9" s="73"/>
      <c r="M9" s="73"/>
      <c r="N9" s="73"/>
      <c r="O9" s="73"/>
      <c r="P9" s="73"/>
      <c r="Q9" s="73"/>
      <c r="R9" s="73"/>
      <c r="S9" s="73"/>
      <c r="T9" s="73"/>
      <c r="U9" s="73"/>
      <c r="V9" s="105" t="s">
        <v>128</v>
      </c>
      <c r="W9" s="105"/>
      <c r="X9" s="105"/>
      <c r="Y9" s="105"/>
      <c r="Z9" s="105"/>
      <c r="AA9" s="105"/>
      <c r="AB9" s="105"/>
      <c r="AC9" s="105"/>
      <c r="AD9" s="105"/>
      <c r="AE9" s="105"/>
      <c r="AF9" s="105"/>
      <c r="AG9" s="105"/>
    </row>
    <row r="10" spans="1:33" ht="36.75" customHeight="1" x14ac:dyDescent="0.4">
      <c r="B10" s="2"/>
      <c r="C10" s="173" t="s">
        <v>61</v>
      </c>
      <c r="D10" s="174"/>
      <c r="E10" s="174"/>
      <c r="F10" s="174"/>
      <c r="G10" s="174"/>
      <c r="H10" s="174"/>
      <c r="I10" s="174"/>
      <c r="J10" s="174"/>
      <c r="K10" s="175"/>
      <c r="V10" s="105"/>
      <c r="W10" s="105"/>
      <c r="X10" s="105"/>
      <c r="Y10" s="105"/>
      <c r="Z10" s="105"/>
      <c r="AA10" s="105"/>
      <c r="AB10" s="105"/>
      <c r="AC10" s="105"/>
      <c r="AD10" s="105"/>
      <c r="AE10" s="105"/>
      <c r="AF10" s="105"/>
      <c r="AG10" s="105"/>
    </row>
    <row r="11" spans="1:33" s="76" customFormat="1" ht="36.75" customHeight="1" x14ac:dyDescent="0.4">
      <c r="A11" s="73"/>
      <c r="B11" s="74"/>
      <c r="C11" s="191" t="s">
        <v>142</v>
      </c>
      <c r="D11" s="192"/>
      <c r="E11" s="192"/>
      <c r="F11" s="192"/>
      <c r="G11" s="192"/>
      <c r="H11" s="192"/>
      <c r="I11" s="192"/>
      <c r="J11" s="192"/>
      <c r="K11" s="193"/>
      <c r="L11" s="73"/>
      <c r="M11" s="73"/>
      <c r="N11" s="73"/>
      <c r="O11" s="73"/>
      <c r="P11" s="73"/>
      <c r="Q11" s="73"/>
      <c r="R11" s="73"/>
      <c r="S11" s="73"/>
      <c r="T11" s="73"/>
      <c r="U11" s="73"/>
      <c r="V11" s="105"/>
      <c r="W11" s="105"/>
      <c r="X11" s="105"/>
      <c r="Y11" s="105"/>
      <c r="Z11" s="105"/>
      <c r="AA11" s="105"/>
      <c r="AB11" s="105"/>
      <c r="AC11" s="105"/>
      <c r="AD11" s="105"/>
      <c r="AE11" s="105"/>
      <c r="AF11" s="105"/>
      <c r="AG11" s="105"/>
    </row>
    <row r="12" spans="1:33" ht="16.3" thickBot="1" x14ac:dyDescent="0.45">
      <c r="B12" s="2"/>
      <c r="C12" s="179" t="s">
        <v>143</v>
      </c>
      <c r="D12" s="180"/>
      <c r="E12" s="180"/>
      <c r="F12" s="180"/>
      <c r="G12" s="180"/>
      <c r="H12" s="180"/>
      <c r="I12" s="180"/>
      <c r="J12" s="180"/>
      <c r="K12" s="181"/>
      <c r="V12" s="105"/>
      <c r="W12" s="105"/>
      <c r="X12" s="105"/>
      <c r="Y12" s="105"/>
      <c r="Z12" s="105"/>
      <c r="AA12" s="105"/>
      <c r="AB12" s="105"/>
      <c r="AC12" s="105"/>
      <c r="AD12" s="105"/>
      <c r="AE12" s="105"/>
      <c r="AF12" s="105"/>
      <c r="AG12" s="105"/>
    </row>
    <row r="13" spans="1:33" ht="19.5" customHeight="1" x14ac:dyDescent="0.4">
      <c r="B13" s="2"/>
      <c r="C13" s="61"/>
      <c r="D13" s="61"/>
      <c r="E13" s="3"/>
      <c r="F13" s="3"/>
      <c r="G13" s="3"/>
      <c r="H13" s="3"/>
      <c r="I13" s="1"/>
      <c r="J13" s="1"/>
      <c r="V13" s="105"/>
      <c r="W13" s="105"/>
      <c r="X13" s="105"/>
      <c r="Y13" s="105"/>
      <c r="Z13" s="105"/>
      <c r="AA13" s="105"/>
      <c r="AB13" s="105"/>
      <c r="AC13" s="105"/>
      <c r="AD13" s="105"/>
      <c r="AE13" s="105"/>
      <c r="AF13" s="105"/>
      <c r="AG13" s="105"/>
    </row>
    <row r="14" spans="1:33" ht="19.2" customHeight="1" x14ac:dyDescent="0.4">
      <c r="C14" s="185" t="s">
        <v>52</v>
      </c>
      <c r="D14" s="186"/>
      <c r="E14" s="186"/>
      <c r="F14" s="187"/>
      <c r="G14" s="4" t="s">
        <v>0</v>
      </c>
      <c r="H14" s="5" t="s">
        <v>1</v>
      </c>
      <c r="I14" s="182" t="s">
        <v>63</v>
      </c>
      <c r="J14" s="183"/>
      <c r="K14" s="184"/>
      <c r="V14" s="105"/>
      <c r="W14" s="105"/>
      <c r="X14" s="105"/>
      <c r="Y14" s="105"/>
      <c r="Z14" s="105"/>
      <c r="AA14" s="105"/>
      <c r="AB14" s="105"/>
      <c r="AC14" s="105"/>
      <c r="AD14" s="105"/>
      <c r="AE14" s="105"/>
      <c r="AF14" s="105"/>
      <c r="AG14" s="105"/>
    </row>
    <row r="15" spans="1:33" ht="35.5" customHeight="1" x14ac:dyDescent="0.4">
      <c r="C15" s="7">
        <v>1</v>
      </c>
      <c r="D15" s="167" t="s">
        <v>49</v>
      </c>
      <c r="E15" s="168"/>
      <c r="F15" s="169"/>
      <c r="G15" s="71">
        <v>2.5700000000000001E-2</v>
      </c>
      <c r="H15" s="32" t="s">
        <v>3</v>
      </c>
      <c r="I15" s="176" t="s">
        <v>64</v>
      </c>
      <c r="J15" s="177"/>
      <c r="K15" s="178"/>
      <c r="V15" s="105"/>
      <c r="W15" s="105"/>
      <c r="X15" s="105"/>
      <c r="Y15" s="105"/>
      <c r="Z15" s="105"/>
      <c r="AA15" s="105"/>
      <c r="AB15" s="105"/>
      <c r="AC15" s="105"/>
      <c r="AD15" s="105"/>
      <c r="AE15" s="105"/>
      <c r="AF15" s="105"/>
      <c r="AG15" s="105"/>
    </row>
    <row r="16" spans="1:33" ht="56.25" customHeight="1" x14ac:dyDescent="0.4">
      <c r="B16" s="2"/>
      <c r="C16" s="6">
        <v>2</v>
      </c>
      <c r="D16" s="167" t="s">
        <v>42</v>
      </c>
      <c r="E16" s="168"/>
      <c r="F16" s="169"/>
      <c r="G16" s="71">
        <v>0.03</v>
      </c>
      <c r="H16" s="32" t="s">
        <v>3</v>
      </c>
      <c r="I16" s="176" t="s">
        <v>65</v>
      </c>
      <c r="J16" s="177"/>
      <c r="K16" s="178"/>
      <c r="V16" s="105"/>
      <c r="W16" s="105"/>
      <c r="X16" s="105"/>
      <c r="Y16" s="105"/>
      <c r="Z16" s="105"/>
      <c r="AA16" s="105"/>
      <c r="AB16" s="105"/>
      <c r="AC16" s="105"/>
      <c r="AD16" s="105"/>
      <c r="AE16" s="105"/>
      <c r="AF16" s="105"/>
      <c r="AG16" s="105"/>
    </row>
    <row r="17" spans="1:33" ht="66.75" customHeight="1" x14ac:dyDescent="0.4">
      <c r="B17" s="2"/>
      <c r="C17" s="7">
        <v>3</v>
      </c>
      <c r="D17" s="167" t="s">
        <v>41</v>
      </c>
      <c r="E17" s="168"/>
      <c r="F17" s="169"/>
      <c r="G17" s="72">
        <f>0.07139*0.48</f>
        <v>3.4267199999999998E-2</v>
      </c>
      <c r="H17" s="32" t="s">
        <v>2</v>
      </c>
      <c r="I17" s="176" t="s">
        <v>162</v>
      </c>
      <c r="J17" s="177"/>
      <c r="K17" s="178"/>
      <c r="V17" s="105"/>
      <c r="W17" s="105"/>
      <c r="X17" s="105"/>
      <c r="Y17" s="105"/>
      <c r="Z17" s="105"/>
      <c r="AA17" s="105"/>
      <c r="AB17" s="105"/>
      <c r="AC17" s="105"/>
      <c r="AD17" s="105"/>
      <c r="AE17" s="105"/>
      <c r="AF17" s="105"/>
      <c r="AG17" s="105"/>
    </row>
    <row r="18" spans="1:33" s="76" customFormat="1" ht="50.25" customHeight="1" x14ac:dyDescent="0.4">
      <c r="A18" s="73"/>
      <c r="B18" s="74"/>
      <c r="C18" s="6">
        <v>4</v>
      </c>
      <c r="D18" s="167" t="s">
        <v>152</v>
      </c>
      <c r="E18" s="205"/>
      <c r="F18" s="206"/>
      <c r="G18" s="72">
        <v>0.08</v>
      </c>
      <c r="H18" s="32" t="s">
        <v>2</v>
      </c>
      <c r="I18" s="176" t="s">
        <v>153</v>
      </c>
      <c r="J18" s="177"/>
      <c r="K18" s="178"/>
      <c r="L18" s="73"/>
      <c r="M18" s="73"/>
      <c r="N18" s="73"/>
      <c r="O18" s="73"/>
      <c r="P18" s="73"/>
      <c r="Q18" s="73"/>
      <c r="R18" s="73"/>
      <c r="S18" s="73"/>
      <c r="T18" s="73"/>
      <c r="U18" s="73"/>
      <c r="V18" s="105"/>
      <c r="W18" s="105"/>
      <c r="X18" s="105"/>
      <c r="Y18" s="105"/>
      <c r="Z18" s="105"/>
      <c r="AA18" s="105"/>
      <c r="AB18" s="105"/>
      <c r="AC18" s="105"/>
      <c r="AD18" s="105"/>
      <c r="AE18" s="105"/>
      <c r="AF18" s="105"/>
      <c r="AG18" s="105"/>
    </row>
    <row r="19" spans="1:33" ht="66.75" customHeight="1" x14ac:dyDescent="0.4">
      <c r="B19" s="2"/>
      <c r="C19" s="6">
        <v>5</v>
      </c>
      <c r="D19" s="167" t="s">
        <v>44</v>
      </c>
      <c r="E19" s="168"/>
      <c r="F19" s="169"/>
      <c r="G19" s="69">
        <v>5.0000000000000001E-3</v>
      </c>
      <c r="H19" s="32" t="s">
        <v>3</v>
      </c>
      <c r="I19" s="176" t="s">
        <v>154</v>
      </c>
      <c r="J19" s="177"/>
      <c r="K19" s="178"/>
      <c r="V19" s="105"/>
      <c r="W19" s="105"/>
      <c r="X19" s="105"/>
      <c r="Y19" s="105"/>
      <c r="Z19" s="105"/>
      <c r="AA19" s="105"/>
      <c r="AB19" s="105"/>
      <c r="AC19" s="105"/>
      <c r="AD19" s="105"/>
      <c r="AE19" s="105"/>
      <c r="AF19" s="105"/>
      <c r="AG19" s="105"/>
    </row>
    <row r="20" spans="1:33" ht="69.75" customHeight="1" x14ac:dyDescent="0.4">
      <c r="B20" s="2"/>
      <c r="C20" s="6">
        <v>6</v>
      </c>
      <c r="D20" s="167" t="s">
        <v>110</v>
      </c>
      <c r="E20" s="168"/>
      <c r="F20" s="169"/>
      <c r="G20" s="70" t="s">
        <v>111</v>
      </c>
      <c r="H20" s="68" t="s">
        <v>112</v>
      </c>
      <c r="I20" s="176" t="s">
        <v>161</v>
      </c>
      <c r="J20" s="177"/>
      <c r="K20" s="178"/>
      <c r="V20" s="105"/>
      <c r="W20" s="105"/>
      <c r="X20" s="105"/>
      <c r="Y20" s="105"/>
      <c r="Z20" s="105"/>
      <c r="AA20" s="105"/>
      <c r="AB20" s="105"/>
      <c r="AC20" s="105"/>
      <c r="AD20" s="105"/>
      <c r="AE20" s="105"/>
      <c r="AF20" s="105"/>
      <c r="AG20" s="105"/>
    </row>
    <row r="21" spans="1:33" s="1" customFormat="1" ht="21.75" customHeight="1" x14ac:dyDescent="0.4">
      <c r="B21" s="2"/>
      <c r="C21" s="26"/>
      <c r="D21" s="26"/>
      <c r="E21" s="27"/>
      <c r="F21" s="27"/>
      <c r="G21" s="27"/>
      <c r="H21" s="27"/>
      <c r="I21" s="35"/>
      <c r="J21" s="28"/>
      <c r="K21" s="2"/>
      <c r="V21" s="74"/>
      <c r="W21" s="74"/>
      <c r="X21" s="74"/>
      <c r="Y21" s="74"/>
      <c r="Z21" s="74"/>
      <c r="AA21" s="74"/>
      <c r="AB21" s="74"/>
      <c r="AC21" s="74"/>
      <c r="AD21" s="74"/>
      <c r="AE21" s="74"/>
      <c r="AF21" s="74"/>
      <c r="AG21" s="74"/>
    </row>
    <row r="22" spans="1:33" ht="18" customHeight="1" x14ac:dyDescent="0.4">
      <c r="B22" s="2"/>
      <c r="C22" s="211" t="s">
        <v>163</v>
      </c>
      <c r="D22" s="211"/>
      <c r="E22" s="211"/>
      <c r="F22" s="211"/>
      <c r="G22" s="211"/>
      <c r="H22" s="211"/>
      <c r="I22" s="211"/>
      <c r="J22" s="211"/>
      <c r="K22" s="211"/>
      <c r="V22" s="105"/>
      <c r="W22" s="105"/>
      <c r="X22" s="105"/>
      <c r="Y22" s="105"/>
      <c r="Z22" s="105"/>
      <c r="AA22" s="105"/>
      <c r="AB22" s="105"/>
      <c r="AC22" s="105"/>
      <c r="AD22" s="105"/>
      <c r="AE22" s="105"/>
      <c r="AF22" s="105"/>
      <c r="AG22" s="105"/>
    </row>
    <row r="23" spans="1:33" ht="18.45" x14ac:dyDescent="0.4">
      <c r="B23" s="2"/>
      <c r="C23" s="37" t="s">
        <v>4</v>
      </c>
      <c r="D23" s="58">
        <v>1</v>
      </c>
      <c r="E23" s="58">
        <v>2</v>
      </c>
      <c r="F23" s="58">
        <v>3</v>
      </c>
      <c r="G23" s="58">
        <v>4</v>
      </c>
      <c r="H23" s="58">
        <v>5</v>
      </c>
      <c r="I23" s="58">
        <v>6</v>
      </c>
      <c r="J23" s="58">
        <v>7</v>
      </c>
      <c r="K23" s="58">
        <v>8</v>
      </c>
      <c r="V23" s="105"/>
      <c r="W23" s="105"/>
      <c r="X23" s="105"/>
      <c r="Y23" s="105"/>
      <c r="Z23" s="105"/>
      <c r="AA23" s="105"/>
      <c r="AB23" s="105"/>
      <c r="AC23" s="105"/>
      <c r="AD23" s="105"/>
      <c r="AE23" s="105"/>
      <c r="AF23" s="105"/>
      <c r="AG23" s="105"/>
    </row>
    <row r="24" spans="1:33" ht="34.5" customHeight="1" x14ac:dyDescent="0.5">
      <c r="B24" s="2"/>
      <c r="C24" s="37" t="s">
        <v>135</v>
      </c>
      <c r="D24" s="57" t="s">
        <v>157</v>
      </c>
      <c r="E24" s="57" t="s">
        <v>158</v>
      </c>
      <c r="F24" s="57" t="s">
        <v>159</v>
      </c>
      <c r="G24" s="57" t="s">
        <v>136</v>
      </c>
      <c r="H24" s="57" t="s">
        <v>137</v>
      </c>
      <c r="I24" s="57" t="s">
        <v>138</v>
      </c>
      <c r="J24" s="57" t="s">
        <v>139</v>
      </c>
      <c r="K24" s="57" t="s">
        <v>140</v>
      </c>
      <c r="V24" s="105"/>
      <c r="W24" s="105"/>
      <c r="X24" s="105"/>
      <c r="Y24" s="105"/>
      <c r="Z24" s="105"/>
      <c r="AA24" s="105"/>
      <c r="AB24" s="105"/>
      <c r="AC24" s="105"/>
      <c r="AD24" s="105"/>
      <c r="AE24" s="105"/>
      <c r="AF24" s="105"/>
      <c r="AG24" s="105"/>
    </row>
    <row r="25" spans="1:33" ht="76.5" customHeight="1" x14ac:dyDescent="0.45">
      <c r="B25" s="2"/>
      <c r="C25" s="37" t="s">
        <v>132</v>
      </c>
      <c r="D25" s="98" t="s">
        <v>117</v>
      </c>
      <c r="E25" s="98" t="s">
        <v>118</v>
      </c>
      <c r="F25" s="98" t="s">
        <v>117</v>
      </c>
      <c r="G25" s="98" t="s">
        <v>117</v>
      </c>
      <c r="H25" s="98" t="s">
        <v>117</v>
      </c>
      <c r="I25" s="98" t="s">
        <v>117</v>
      </c>
      <c r="J25" s="98" t="s">
        <v>117</v>
      </c>
      <c r="K25" s="98" t="s">
        <v>117</v>
      </c>
      <c r="V25" s="105"/>
      <c r="W25" s="105"/>
      <c r="X25" s="105"/>
      <c r="Y25" s="105"/>
      <c r="Z25" s="105"/>
      <c r="AA25" s="105"/>
      <c r="AB25" s="105"/>
      <c r="AC25" s="105"/>
      <c r="AD25" s="105"/>
      <c r="AE25" s="105"/>
      <c r="AF25" s="105"/>
      <c r="AG25" s="105"/>
    </row>
    <row r="26" spans="1:33" ht="48.75" customHeight="1" x14ac:dyDescent="0.5">
      <c r="B26" s="2"/>
      <c r="C26" s="37" t="s">
        <v>54</v>
      </c>
      <c r="D26" s="84">
        <v>29.97</v>
      </c>
      <c r="E26" s="84">
        <v>117.4</v>
      </c>
      <c r="F26" s="84">
        <v>326.5</v>
      </c>
      <c r="G26" s="84">
        <v>0</v>
      </c>
      <c r="H26" s="84">
        <v>0</v>
      </c>
      <c r="I26" s="84">
        <v>0</v>
      </c>
      <c r="J26" s="84">
        <v>0</v>
      </c>
      <c r="K26" s="84">
        <v>0</v>
      </c>
      <c r="V26" s="105"/>
      <c r="W26" s="105"/>
      <c r="X26" s="105"/>
      <c r="Y26" s="105"/>
      <c r="Z26" s="105"/>
      <c r="AA26" s="105"/>
      <c r="AB26" s="105"/>
      <c r="AC26" s="105"/>
      <c r="AD26" s="105"/>
      <c r="AE26" s="105"/>
      <c r="AF26" s="105"/>
      <c r="AG26" s="105"/>
    </row>
    <row r="27" spans="1:33" ht="60.75" customHeight="1" x14ac:dyDescent="0.5">
      <c r="B27" s="2"/>
      <c r="C27" s="37" t="s">
        <v>55</v>
      </c>
      <c r="D27" s="99">
        <v>34466</v>
      </c>
      <c r="E27" s="99">
        <v>140080</v>
      </c>
      <c r="F27" s="99">
        <v>417884</v>
      </c>
      <c r="G27" s="99"/>
      <c r="H27" s="99"/>
      <c r="I27" s="99"/>
      <c r="J27" s="99"/>
      <c r="K27" s="99"/>
      <c r="V27" s="105"/>
      <c r="W27" s="105"/>
      <c r="X27" s="105"/>
      <c r="Y27" s="105"/>
      <c r="Z27" s="105"/>
      <c r="AA27" s="105"/>
      <c r="AB27" s="105"/>
      <c r="AC27" s="105"/>
      <c r="AD27" s="105"/>
      <c r="AE27" s="105"/>
      <c r="AF27" s="105"/>
      <c r="AG27" s="105"/>
    </row>
    <row r="28" spans="1:33" ht="79.5" customHeight="1" x14ac:dyDescent="0.5">
      <c r="B28" s="2"/>
      <c r="C28" s="37" t="s">
        <v>56</v>
      </c>
      <c r="D28" s="100">
        <v>8.8300000000000003E-2</v>
      </c>
      <c r="E28" s="100">
        <v>7.5600000000000001E-2</v>
      </c>
      <c r="F28" s="100">
        <v>8.5099999999999995E-2</v>
      </c>
      <c r="G28" s="100"/>
      <c r="H28" s="100"/>
      <c r="I28" s="100"/>
      <c r="J28" s="100"/>
      <c r="K28" s="100"/>
      <c r="V28" s="105"/>
      <c r="W28" s="105"/>
      <c r="X28" s="105"/>
      <c r="Y28" s="105"/>
      <c r="Z28" s="105"/>
      <c r="AA28" s="105"/>
      <c r="AB28" s="105"/>
      <c r="AC28" s="105"/>
      <c r="AD28" s="105"/>
      <c r="AE28" s="105"/>
      <c r="AF28" s="105"/>
      <c r="AG28" s="105"/>
    </row>
    <row r="29" spans="1:33" ht="79.5" customHeight="1" x14ac:dyDescent="0.5">
      <c r="B29" s="2"/>
      <c r="C29" s="37" t="s">
        <v>57</v>
      </c>
      <c r="D29" s="101">
        <v>4.4999999999999998E-2</v>
      </c>
      <c r="E29" s="101">
        <v>0.02</v>
      </c>
      <c r="F29" s="101">
        <v>1.6E-2</v>
      </c>
      <c r="G29" s="101">
        <v>0</v>
      </c>
      <c r="H29" s="101">
        <v>0</v>
      </c>
      <c r="I29" s="101">
        <v>0</v>
      </c>
      <c r="J29" s="101">
        <v>0</v>
      </c>
      <c r="K29" s="101">
        <v>0</v>
      </c>
      <c r="V29" s="105"/>
      <c r="W29" s="105"/>
      <c r="X29" s="105"/>
      <c r="Y29" s="105"/>
      <c r="Z29" s="105"/>
      <c r="AA29" s="105"/>
      <c r="AB29" s="105"/>
      <c r="AC29" s="105"/>
      <c r="AD29" s="105"/>
      <c r="AE29" s="105"/>
      <c r="AF29" s="105"/>
      <c r="AG29" s="105"/>
    </row>
    <row r="30" spans="1:33" ht="79.5" customHeight="1" x14ac:dyDescent="0.5">
      <c r="B30" s="2"/>
      <c r="C30" s="37" t="s">
        <v>150</v>
      </c>
      <c r="D30" s="104">
        <f>IFERROR('Demand Charge Calculations'!B54,0)</f>
        <v>0</v>
      </c>
      <c r="E30" s="104">
        <f>IFERROR('Demand Charge Calculations'!C54,0)</f>
        <v>0</v>
      </c>
      <c r="F30" s="104">
        <f>IFERROR('Demand Charge Calculations'!D54,0)</f>
        <v>0</v>
      </c>
      <c r="G30" s="104">
        <f>IFERROR('Demand Charge Calculations'!E54,0)</f>
        <v>0</v>
      </c>
      <c r="H30" s="104">
        <f>IFERROR('Demand Charge Calculations'!F54,0)</f>
        <v>0</v>
      </c>
      <c r="I30" s="104">
        <f>IFERROR('Demand Charge Calculations'!G54,0)</f>
        <v>0</v>
      </c>
      <c r="J30" s="104">
        <f>IFERROR('Demand Charge Calculations'!H54,0)</f>
        <v>0</v>
      </c>
      <c r="K30" s="104">
        <f>IFERROR('Demand Charge Calculations'!I54,0)</f>
        <v>0</v>
      </c>
      <c r="V30" s="105"/>
      <c r="W30" s="105"/>
      <c r="X30" s="105"/>
      <c r="Y30" s="105"/>
      <c r="Z30" s="105"/>
      <c r="AA30" s="105"/>
      <c r="AB30" s="105"/>
      <c r="AC30" s="105"/>
      <c r="AD30" s="105"/>
      <c r="AE30" s="105"/>
      <c r="AF30" s="105"/>
      <c r="AG30" s="105"/>
    </row>
    <row r="31" spans="1:33" ht="34.5" customHeight="1" x14ac:dyDescent="0.5">
      <c r="B31" s="2"/>
      <c r="C31" s="37" t="s">
        <v>58</v>
      </c>
      <c r="D31" s="85">
        <v>13</v>
      </c>
      <c r="E31" s="85">
        <v>25</v>
      </c>
      <c r="F31" s="85">
        <v>20</v>
      </c>
      <c r="G31" s="85">
        <v>20</v>
      </c>
      <c r="H31" s="85">
        <v>20</v>
      </c>
      <c r="I31" s="85">
        <v>20</v>
      </c>
      <c r="J31" s="85">
        <v>25</v>
      </c>
      <c r="K31" s="85">
        <v>20</v>
      </c>
      <c r="V31" s="105"/>
      <c r="W31" s="105"/>
      <c r="X31" s="105"/>
      <c r="Y31" s="105"/>
      <c r="Z31" s="105"/>
      <c r="AA31" s="105"/>
      <c r="AB31" s="105"/>
      <c r="AC31" s="105"/>
      <c r="AD31" s="105"/>
      <c r="AE31" s="105"/>
      <c r="AF31" s="105"/>
      <c r="AG31" s="105"/>
    </row>
    <row r="32" spans="1:33" ht="34.5" customHeight="1" x14ac:dyDescent="0.5">
      <c r="B32" s="2"/>
      <c r="C32" s="37" t="s">
        <v>43</v>
      </c>
      <c r="D32" s="77" t="s">
        <v>164</v>
      </c>
      <c r="E32" s="77">
        <v>0.85</v>
      </c>
      <c r="F32" s="77">
        <v>0.85</v>
      </c>
      <c r="G32" s="77" t="s">
        <v>164</v>
      </c>
      <c r="H32" s="77" t="s">
        <v>164</v>
      </c>
      <c r="I32" s="77" t="s">
        <v>164</v>
      </c>
      <c r="J32" s="77" t="s">
        <v>164</v>
      </c>
      <c r="K32" s="77" t="s">
        <v>164</v>
      </c>
      <c r="V32" s="105"/>
      <c r="W32" s="105"/>
      <c r="X32" s="105"/>
      <c r="Y32" s="105"/>
      <c r="Z32" s="105"/>
      <c r="AA32" s="105"/>
      <c r="AB32" s="105"/>
      <c r="AC32" s="105"/>
      <c r="AD32" s="105"/>
      <c r="AE32" s="105"/>
      <c r="AF32" s="105"/>
      <c r="AG32" s="105"/>
    </row>
    <row r="33" spans="2:33" ht="22.2" customHeight="1" x14ac:dyDescent="0.4">
      <c r="C33" s="1"/>
      <c r="D33" s="1"/>
      <c r="E33" s="1"/>
      <c r="F33" s="1"/>
      <c r="G33" s="1"/>
      <c r="H33" s="1"/>
      <c r="I33" s="1"/>
      <c r="J33" s="1"/>
      <c r="V33" s="105"/>
      <c r="W33" s="105"/>
      <c r="X33" s="105"/>
      <c r="Y33" s="105"/>
      <c r="Z33" s="105"/>
      <c r="AA33" s="105"/>
      <c r="AB33" s="105"/>
      <c r="AC33" s="105"/>
      <c r="AD33" s="105"/>
      <c r="AE33" s="105"/>
      <c r="AF33" s="105"/>
      <c r="AG33" s="105"/>
    </row>
    <row r="34" spans="2:33" ht="19.2" customHeight="1" x14ac:dyDescent="0.4">
      <c r="C34" s="198" t="s">
        <v>66</v>
      </c>
      <c r="D34" s="198"/>
      <c r="E34" s="198"/>
      <c r="F34" s="198"/>
      <c r="G34" s="198"/>
      <c r="H34" s="198"/>
      <c r="I34" s="198"/>
      <c r="J34" s="198"/>
      <c r="K34" s="198"/>
      <c r="V34" s="105"/>
      <c r="W34" s="105"/>
      <c r="X34" s="105"/>
      <c r="Y34" s="105"/>
      <c r="Z34" s="105"/>
      <c r="AA34" s="105"/>
      <c r="AB34" s="105"/>
      <c r="AC34" s="105"/>
      <c r="AD34" s="105"/>
      <c r="AE34" s="105"/>
      <c r="AF34" s="105"/>
      <c r="AG34" s="105"/>
    </row>
    <row r="35" spans="2:33" ht="56.5" customHeight="1" x14ac:dyDescent="0.4">
      <c r="C35" s="197" t="s">
        <v>50</v>
      </c>
      <c r="D35" s="197"/>
      <c r="E35" s="197"/>
      <c r="F35" s="197"/>
      <c r="G35" s="197"/>
      <c r="H35" s="197"/>
      <c r="I35" s="197"/>
      <c r="J35" s="197"/>
      <c r="K35" s="197"/>
      <c r="V35" s="105"/>
      <c r="W35" s="105"/>
      <c r="X35" s="105"/>
      <c r="Y35" s="105"/>
      <c r="Z35" s="105"/>
      <c r="AA35" s="105"/>
      <c r="AB35" s="105"/>
      <c r="AC35" s="105"/>
      <c r="AD35" s="105"/>
      <c r="AE35" s="105"/>
      <c r="AF35" s="105"/>
      <c r="AG35" s="105"/>
    </row>
    <row r="36" spans="2:33" s="1" customFormat="1" ht="18.45" x14ac:dyDescent="0.4">
      <c r="C36" s="37" t="s">
        <v>4</v>
      </c>
      <c r="D36" s="58">
        <v>1</v>
      </c>
      <c r="E36" s="58">
        <v>2</v>
      </c>
      <c r="F36" s="58">
        <v>3</v>
      </c>
      <c r="G36" s="58">
        <v>4</v>
      </c>
      <c r="H36" s="58">
        <v>5</v>
      </c>
      <c r="I36" s="58">
        <v>6</v>
      </c>
      <c r="J36" s="58">
        <v>7</v>
      </c>
      <c r="K36" s="58">
        <v>8</v>
      </c>
      <c r="V36" s="74"/>
      <c r="W36" s="74"/>
      <c r="X36" s="74"/>
      <c r="Y36" s="74"/>
      <c r="Z36" s="74"/>
      <c r="AA36" s="74"/>
      <c r="AB36" s="74"/>
      <c r="AC36" s="74"/>
      <c r="AD36" s="74"/>
      <c r="AE36" s="74"/>
      <c r="AF36" s="74"/>
      <c r="AG36" s="74"/>
    </row>
    <row r="37" spans="2:33" s="1" customFormat="1" ht="40.5" customHeight="1" x14ac:dyDescent="0.4">
      <c r="C37" s="37" t="s">
        <v>5</v>
      </c>
      <c r="D37" s="59" t="str">
        <f t="shared" ref="D37:K37" si="0">D24</f>
        <v>EXAMPLE SITE 1</v>
      </c>
      <c r="E37" s="59" t="str">
        <f t="shared" si="0"/>
        <v>EXAMPLE SITE 2</v>
      </c>
      <c r="F37" s="59" t="str">
        <f t="shared" si="0"/>
        <v>EXAMPLE SITE 3</v>
      </c>
      <c r="G37" s="59" t="str">
        <f t="shared" si="0"/>
        <v>SITE 4</v>
      </c>
      <c r="H37" s="59" t="str">
        <f t="shared" si="0"/>
        <v>SITE 5</v>
      </c>
      <c r="I37" s="59" t="str">
        <f t="shared" si="0"/>
        <v>SITE 6</v>
      </c>
      <c r="J37" s="59" t="str">
        <f t="shared" si="0"/>
        <v>SITE 7</v>
      </c>
      <c r="K37" s="59" t="str">
        <f t="shared" si="0"/>
        <v>SITE 8</v>
      </c>
      <c r="V37" s="74"/>
      <c r="W37" s="74"/>
      <c r="X37" s="74"/>
      <c r="Y37" s="74"/>
      <c r="Z37" s="74"/>
      <c r="AA37" s="74"/>
      <c r="AB37" s="74"/>
      <c r="AC37" s="74"/>
      <c r="AD37" s="74"/>
      <c r="AE37" s="74"/>
      <c r="AF37" s="74"/>
      <c r="AG37" s="74"/>
    </row>
    <row r="38" spans="2:33" s="1" customFormat="1" ht="40.5" customHeight="1" x14ac:dyDescent="0.4">
      <c r="B38" s="194" t="s">
        <v>31</v>
      </c>
      <c r="C38" s="37">
        <v>1</v>
      </c>
      <c r="D38" s="51">
        <f>VLOOKUP($C38,'Example Site 1'!$A$3:$N$32,11,FALSE)/12</f>
        <v>165.03756883333335</v>
      </c>
      <c r="E38" s="51">
        <f>VLOOKUP($C38,'Example Site 2'!$A$3:$N$32,11,FALSE)/12</f>
        <v>285.15852133333328</v>
      </c>
      <c r="F38" s="51">
        <f>VLOOKUP($C38,'Example Site 3'!$A$3:$N$32,11,FALSE)/12</f>
        <v>519.85466073333339</v>
      </c>
      <c r="G38" s="51">
        <f>VLOOKUP($C38,'Site 4'!$A$3:$N$32,11,FALSE)/12</f>
        <v>0</v>
      </c>
      <c r="H38" s="51">
        <f>VLOOKUP($C38,'Site 5'!$A$3:$N$32,11,FALSE)/12</f>
        <v>0</v>
      </c>
      <c r="I38" s="51">
        <f>VLOOKUP($C38,'Site 6'!$A$3:$N$32,11,FALSE)/12</f>
        <v>0</v>
      </c>
      <c r="J38" s="51">
        <f>VLOOKUP($C38,'Site 7'!$A$3:$N$32,11,FALSE)/12</f>
        <v>0</v>
      </c>
      <c r="K38" s="51">
        <f>VLOOKUP($C38,'Site 8'!$A$3:$N$32,11,FALSE)/12</f>
        <v>0</v>
      </c>
      <c r="V38" s="74"/>
      <c r="W38" s="74"/>
      <c r="X38" s="74"/>
      <c r="Y38" s="74"/>
      <c r="Z38" s="74"/>
      <c r="AA38" s="74"/>
      <c r="AB38" s="74"/>
      <c r="AC38" s="74"/>
      <c r="AD38" s="74"/>
      <c r="AE38" s="74"/>
      <c r="AF38" s="74"/>
      <c r="AG38" s="74"/>
    </row>
    <row r="39" spans="2:33" s="1" customFormat="1" ht="27" customHeight="1" x14ac:dyDescent="0.4">
      <c r="B39" s="194"/>
      <c r="C39" s="37">
        <v>5</v>
      </c>
      <c r="D39" s="51">
        <f>VLOOKUP($C39,'Example Site 1'!$A$3:$N$32,11,FALSE)/12</f>
        <v>133.68298572474012</v>
      </c>
      <c r="E39" s="51">
        <f>VLOOKUP($C39,'Example Site 2'!$A$3:$N$32,11,FALSE)/12</f>
        <v>288.57644537680693</v>
      </c>
      <c r="F39" s="51">
        <f>VLOOKUP($C39,'Example Site 3'!$A$3:$N$32,11,FALSE)/12</f>
        <v>558.91865590480995</v>
      </c>
      <c r="G39" s="51">
        <f>VLOOKUP($C39,'Site 4'!$A$3:$N$32,11,FALSE)/12</f>
        <v>0</v>
      </c>
      <c r="H39" s="51">
        <f>VLOOKUP($C39,'Site 5'!$A$3:$N$32,11,FALSE)/12</f>
        <v>0</v>
      </c>
      <c r="I39" s="51">
        <f>VLOOKUP($C39,'Site 6'!$A$3:$N$32,11,FALSE)/12</f>
        <v>0</v>
      </c>
      <c r="J39" s="51">
        <f>VLOOKUP($C39,'Site 7'!$A$3:$N$32,11,FALSE)/12</f>
        <v>0</v>
      </c>
      <c r="K39" s="51">
        <f>VLOOKUP($C39,'Site 8'!$A$3:$N$32,11,FALSE)/12</f>
        <v>0</v>
      </c>
      <c r="V39" s="74"/>
      <c r="W39" s="74"/>
      <c r="X39" s="74"/>
      <c r="Y39" s="74"/>
      <c r="Z39" s="74"/>
      <c r="AA39" s="74"/>
      <c r="AB39" s="74"/>
      <c r="AC39" s="74"/>
      <c r="AD39" s="74"/>
      <c r="AE39" s="74"/>
      <c r="AF39" s="74"/>
      <c r="AG39" s="74"/>
    </row>
    <row r="40" spans="2:33" s="1" customFormat="1" ht="27" customHeight="1" x14ac:dyDescent="0.4">
      <c r="B40" s="194"/>
      <c r="C40" s="37">
        <v>10</v>
      </c>
      <c r="D40" s="51">
        <f>VLOOKUP($C40,'Example Site 1'!$A$3:$N$32,11,FALSE)/12</f>
        <v>86.236539353277706</v>
      </c>
      <c r="E40" s="51">
        <f>VLOOKUP($C40,'Example Site 2'!$A$3:$N$32,11,FALSE)/12</f>
        <v>-86.102389503621453</v>
      </c>
      <c r="F40" s="51">
        <f>VLOOKUP($C40,'Example Site 3'!$A$3:$N$32,11,FALSE)/12</f>
        <v>-517.1571511801618</v>
      </c>
      <c r="G40" s="51">
        <f>VLOOKUP($C40,'Site 4'!$A$3:$N$32,11,FALSE)/12</f>
        <v>0</v>
      </c>
      <c r="H40" s="51">
        <f>VLOOKUP($C40,'Site 5'!$A$3:$N$32,11,FALSE)/12</f>
        <v>0</v>
      </c>
      <c r="I40" s="51">
        <f>VLOOKUP($C40,'Site 6'!$A$3:$N$32,11,FALSE)/12</f>
        <v>0</v>
      </c>
      <c r="J40" s="51">
        <f>VLOOKUP($C40,'Site 7'!$A$3:$N$32,11,FALSE)/12</f>
        <v>0</v>
      </c>
      <c r="K40" s="51">
        <f>VLOOKUP($C40,'Site 8'!$A$3:$N$32,11,FALSE)/12</f>
        <v>0</v>
      </c>
      <c r="V40" s="74"/>
      <c r="W40" s="74"/>
      <c r="X40" s="74"/>
      <c r="Y40" s="74"/>
      <c r="Z40" s="74"/>
      <c r="AA40" s="74"/>
      <c r="AB40" s="74"/>
      <c r="AC40" s="74"/>
      <c r="AD40" s="74"/>
      <c r="AE40" s="74"/>
      <c r="AF40" s="74"/>
      <c r="AG40" s="74"/>
    </row>
    <row r="41" spans="2:33" s="1" customFormat="1" ht="27" customHeight="1" x14ac:dyDescent="0.4">
      <c r="B41" s="194"/>
      <c r="C41" s="37">
        <v>15</v>
      </c>
      <c r="D41" s="51">
        <f>VLOOKUP($C41,'Example Site 1'!$A$3:$N$32,11,FALSE)/12</f>
        <v>251.18063499236612</v>
      </c>
      <c r="E41" s="51">
        <f>VLOOKUP($C41,'Example Site 2'!$A$3:$N$32,11,FALSE)/12</f>
        <v>-64.658707255904119</v>
      </c>
      <c r="F41" s="51">
        <f>VLOOKUP($C41,'Example Site 3'!$A$3:$N$32,11,FALSE)/12</f>
        <v>-404.7121394415135</v>
      </c>
      <c r="G41" s="51">
        <f>VLOOKUP($C41,'Site 4'!$A$3:$N$32,11,FALSE)/12</f>
        <v>0</v>
      </c>
      <c r="H41" s="51">
        <f>VLOOKUP($C41,'Site 5'!$A$3:$N$32,11,FALSE)/12</f>
        <v>0</v>
      </c>
      <c r="I41" s="51">
        <f>VLOOKUP($C41,'Site 6'!$A$3:$N$32,11,FALSE)/12</f>
        <v>0</v>
      </c>
      <c r="J41" s="51">
        <f>VLOOKUP($C41,'Site 7'!$A$3:$N$32,11,FALSE)/12</f>
        <v>0</v>
      </c>
      <c r="K41" s="51">
        <f>VLOOKUP($C41,'Site 8'!$A$3:$N$32,11,FALSE)/12</f>
        <v>0</v>
      </c>
      <c r="V41" s="74"/>
      <c r="W41" s="74"/>
      <c r="X41" s="74"/>
      <c r="Y41" s="74"/>
      <c r="Z41" s="74"/>
      <c r="AA41" s="74"/>
      <c r="AB41" s="74"/>
      <c r="AC41" s="74"/>
      <c r="AD41" s="74"/>
      <c r="AE41" s="74"/>
      <c r="AF41" s="74"/>
      <c r="AG41" s="74"/>
    </row>
    <row r="42" spans="2:33" s="1" customFormat="1" ht="27" customHeight="1" x14ac:dyDescent="0.4">
      <c r="B42" s="194"/>
      <c r="C42" s="37">
        <v>20</v>
      </c>
      <c r="D42" s="51">
        <f>VLOOKUP($C42,'Example Site 1'!$A$3:$N$32,11,FALSE)/12</f>
        <v>278.10150255678275</v>
      </c>
      <c r="E42" s="51">
        <f>VLOOKUP($C42,'Example Site 2'!$A$3:$N$32,11,FALSE)/12</f>
        <v>-38.562574726568222</v>
      </c>
      <c r="F42" s="51">
        <f>VLOOKUP($C42,'Example Site 3'!$A$3:$N$32,11,FALSE)/12</f>
        <v>-270.84735255386113</v>
      </c>
      <c r="G42" s="51">
        <f>VLOOKUP($C42,'Site 4'!$A$3:$N$32,11,FALSE)/12</f>
        <v>0</v>
      </c>
      <c r="H42" s="51">
        <f>VLOOKUP($C42,'Site 5'!$A$3:$N$32,11,FALSE)/12</f>
        <v>0</v>
      </c>
      <c r="I42" s="51">
        <f>VLOOKUP($C42,'Site 6'!$A$3:$N$32,11,FALSE)/12</f>
        <v>0</v>
      </c>
      <c r="J42" s="51">
        <f>VLOOKUP($C42,'Site 7'!$A$3:$N$32,11,FALSE)/12</f>
        <v>0</v>
      </c>
      <c r="K42" s="51">
        <f>VLOOKUP($C42,'Site 8'!$A$3:$N$32,11,FALSE)/12</f>
        <v>0</v>
      </c>
      <c r="V42" s="74"/>
      <c r="W42" s="74"/>
      <c r="X42" s="74"/>
      <c r="Y42" s="74"/>
      <c r="Z42" s="74"/>
      <c r="AA42" s="74"/>
      <c r="AB42" s="74"/>
      <c r="AC42" s="74"/>
      <c r="AD42" s="74"/>
      <c r="AE42" s="74"/>
      <c r="AF42" s="74"/>
      <c r="AG42" s="74"/>
    </row>
    <row r="43" spans="2:33" s="1" customFormat="1" ht="27" customHeight="1" x14ac:dyDescent="0.4">
      <c r="B43" s="194"/>
      <c r="C43" s="37">
        <v>25</v>
      </c>
      <c r="D43" s="51">
        <f>VLOOKUP($C43,'Example Site 1'!$A$3:$N$32,11,FALSE)/12</f>
        <v>307.90767658777031</v>
      </c>
      <c r="E43" s="51">
        <f>VLOOKUP($C43,'Example Site 2'!$A$3:$N$32,11,FALSE)/12</f>
        <v>-7.13466384693902</v>
      </c>
      <c r="F43" s="51">
        <f>VLOOKUP($C43,'Example Site 3'!$A$3:$N$32,11,FALSE)/12</f>
        <v>3733.2354065805107</v>
      </c>
      <c r="G43" s="51">
        <f>VLOOKUP($C43,'Site 4'!$A$3:$N$32,11,FALSE)/12</f>
        <v>0</v>
      </c>
      <c r="H43" s="51">
        <f>VLOOKUP($C43,'Site 5'!$A$3:$N$32,11,FALSE)/12</f>
        <v>0</v>
      </c>
      <c r="I43" s="51">
        <f>VLOOKUP($C43,'Site 6'!$A$3:$N$32,11,FALSE)/12</f>
        <v>0</v>
      </c>
      <c r="J43" s="51">
        <f>VLOOKUP($C43,'Site 7'!$A$3:$N$32,11,FALSE)/12</f>
        <v>0</v>
      </c>
      <c r="K43" s="51">
        <f>VLOOKUP($C43,'Site 8'!$A$3:$N$32,11,FALSE)/12</f>
        <v>0</v>
      </c>
      <c r="V43" s="74"/>
      <c r="W43" s="74"/>
      <c r="X43" s="74"/>
      <c r="Y43" s="74"/>
      <c r="Z43" s="74"/>
      <c r="AA43" s="74"/>
      <c r="AB43" s="74"/>
      <c r="AC43" s="74"/>
      <c r="AD43" s="74"/>
      <c r="AE43" s="74"/>
      <c r="AF43" s="74"/>
      <c r="AG43" s="74"/>
    </row>
    <row r="44" spans="2:33" s="1" customFormat="1" ht="27" customHeight="1" x14ac:dyDescent="0.4">
      <c r="B44" s="194"/>
      <c r="C44" s="37">
        <v>30</v>
      </c>
      <c r="D44" s="51">
        <f>VLOOKUP($C44,'Example Site 1'!$A$3:$N$32,11,FALSE)/12</f>
        <v>340.90839650289644</v>
      </c>
      <c r="E44" s="51">
        <f>VLOOKUP($C44,'Example Site 2'!$A$3:$N$32,11,FALSE)/12</f>
        <v>1385.5523757362546</v>
      </c>
      <c r="F44" s="51">
        <f>VLOOKUP($C44,'Example Site 3'!$A$3:$N$32,11,FALSE)/12</f>
        <v>4133.3535764004073</v>
      </c>
      <c r="G44" s="51">
        <f>VLOOKUP($C44,'Site 4'!$A$3:$N$32,11,FALSE)/12</f>
        <v>0</v>
      </c>
      <c r="H44" s="51">
        <f>VLOOKUP($C44,'Site 5'!$A$3:$N$32,11,FALSE)/12</f>
        <v>0</v>
      </c>
      <c r="I44" s="51">
        <f>VLOOKUP($C44,'Site 6'!$A$3:$N$32,11,FALSE)/12</f>
        <v>0</v>
      </c>
      <c r="J44" s="51">
        <f>VLOOKUP($C44,'Site 7'!$A$3:$N$32,11,FALSE)/12</f>
        <v>0</v>
      </c>
      <c r="K44" s="51">
        <f>VLOOKUP($C44,'Site 8'!$A$3:$N$32,11,FALSE)/12</f>
        <v>0</v>
      </c>
      <c r="V44" s="74"/>
      <c r="W44" s="74"/>
      <c r="X44" s="74"/>
      <c r="Y44" s="74"/>
      <c r="Z44" s="74"/>
      <c r="AA44" s="74"/>
      <c r="AB44" s="74"/>
      <c r="AC44" s="74"/>
      <c r="AD44" s="74"/>
      <c r="AE44" s="74"/>
      <c r="AF44" s="74"/>
      <c r="AG44" s="74"/>
    </row>
    <row r="45" spans="2:33" s="1" customFormat="1" ht="30.65" customHeight="1" x14ac:dyDescent="0.4">
      <c r="C45" s="203" t="s">
        <v>6</v>
      </c>
      <c r="D45" s="204"/>
      <c r="E45" s="204"/>
      <c r="F45" s="204"/>
      <c r="G45" s="204"/>
      <c r="H45" s="204"/>
      <c r="I45" s="204"/>
      <c r="J45" s="204"/>
      <c r="K45" s="8"/>
      <c r="V45" s="74"/>
      <c r="W45" s="74"/>
      <c r="X45" s="74"/>
      <c r="Y45" s="74"/>
      <c r="Z45" s="74"/>
      <c r="AA45" s="74"/>
      <c r="AB45" s="74"/>
      <c r="AC45" s="74"/>
      <c r="AD45" s="74"/>
      <c r="AE45" s="74"/>
      <c r="AF45" s="74"/>
      <c r="AG45" s="74"/>
    </row>
    <row r="46" spans="2:33" s="1" customFormat="1" ht="38.25" customHeight="1" x14ac:dyDescent="0.4">
      <c r="C46" s="29"/>
      <c r="D46" s="30"/>
      <c r="E46" s="30"/>
      <c r="F46" s="31"/>
      <c r="G46" s="31"/>
      <c r="H46" s="31"/>
      <c r="I46" s="31"/>
      <c r="J46" s="31"/>
      <c r="K46" s="8"/>
      <c r="V46" s="74"/>
      <c r="W46" s="74"/>
      <c r="X46" s="74"/>
      <c r="Y46" s="74"/>
      <c r="Z46" s="74"/>
      <c r="AA46" s="74"/>
      <c r="AB46" s="74"/>
      <c r="AC46" s="74"/>
      <c r="AD46" s="74"/>
      <c r="AE46" s="74"/>
      <c r="AF46" s="74"/>
      <c r="AG46" s="74"/>
    </row>
    <row r="47" spans="2:33" ht="21.65" customHeight="1" x14ac:dyDescent="0.4">
      <c r="C47" s="195" t="s">
        <v>68</v>
      </c>
      <c r="D47" s="196"/>
      <c r="E47" s="196"/>
      <c r="F47" s="196"/>
      <c r="G47" s="196"/>
      <c r="H47" s="196"/>
      <c r="I47" s="196"/>
      <c r="J47" s="196"/>
      <c r="K47" s="196"/>
      <c r="V47" s="105"/>
      <c r="W47" s="105"/>
      <c r="X47" s="105"/>
      <c r="Y47" s="105"/>
      <c r="Z47" s="105"/>
      <c r="AA47" s="105"/>
      <c r="AB47" s="105"/>
      <c r="AC47" s="105"/>
      <c r="AD47" s="105"/>
      <c r="AE47" s="105"/>
      <c r="AF47" s="105"/>
      <c r="AG47" s="105"/>
    </row>
    <row r="48" spans="2:33" ht="55.95" customHeight="1" x14ac:dyDescent="0.4">
      <c r="C48" s="197" t="s">
        <v>51</v>
      </c>
      <c r="D48" s="197"/>
      <c r="E48" s="197"/>
      <c r="F48" s="197"/>
      <c r="G48" s="197"/>
      <c r="H48" s="197"/>
      <c r="I48" s="197"/>
      <c r="J48" s="197"/>
      <c r="K48" s="197"/>
      <c r="V48" s="105"/>
      <c r="W48" s="105"/>
      <c r="X48" s="105"/>
      <c r="Y48" s="105"/>
      <c r="Z48" s="105"/>
      <c r="AA48" s="105"/>
      <c r="AB48" s="105"/>
      <c r="AC48" s="105"/>
      <c r="AD48" s="105"/>
      <c r="AE48" s="105"/>
      <c r="AF48" s="105"/>
      <c r="AG48" s="105"/>
    </row>
    <row r="49" spans="1:33" ht="18.45" x14ac:dyDescent="0.4">
      <c r="C49" s="38" t="s">
        <v>4</v>
      </c>
      <c r="D49" s="49">
        <v>1</v>
      </c>
      <c r="E49" s="49">
        <v>2</v>
      </c>
      <c r="F49" s="49">
        <v>3</v>
      </c>
      <c r="G49" s="49">
        <v>4</v>
      </c>
      <c r="H49" s="49">
        <v>5</v>
      </c>
      <c r="I49" s="49">
        <v>6</v>
      </c>
      <c r="J49" s="49">
        <v>7</v>
      </c>
      <c r="K49" s="49">
        <v>8</v>
      </c>
      <c r="V49" s="105"/>
      <c r="W49" s="105"/>
      <c r="X49" s="105"/>
      <c r="Y49" s="105"/>
      <c r="Z49" s="105"/>
      <c r="AA49" s="105"/>
      <c r="AB49" s="105"/>
      <c r="AC49" s="105"/>
      <c r="AD49" s="105"/>
      <c r="AE49" s="105"/>
      <c r="AF49" s="105"/>
      <c r="AG49" s="105"/>
    </row>
    <row r="50" spans="1:33" ht="18.45" x14ac:dyDescent="0.4">
      <c r="C50" s="38" t="s">
        <v>48</v>
      </c>
      <c r="D50" s="59" t="str">
        <f t="shared" ref="D50:K50" si="1">D24</f>
        <v>EXAMPLE SITE 1</v>
      </c>
      <c r="E50" s="59" t="str">
        <f t="shared" si="1"/>
        <v>EXAMPLE SITE 2</v>
      </c>
      <c r="F50" s="59" t="str">
        <f t="shared" si="1"/>
        <v>EXAMPLE SITE 3</v>
      </c>
      <c r="G50" s="59" t="str">
        <f t="shared" si="1"/>
        <v>SITE 4</v>
      </c>
      <c r="H50" s="59" t="str">
        <f t="shared" si="1"/>
        <v>SITE 5</v>
      </c>
      <c r="I50" s="59" t="str">
        <f t="shared" si="1"/>
        <v>SITE 6</v>
      </c>
      <c r="J50" s="59" t="str">
        <f t="shared" si="1"/>
        <v>SITE 7</v>
      </c>
      <c r="K50" s="59" t="str">
        <f t="shared" si="1"/>
        <v>SITE 8</v>
      </c>
      <c r="V50" s="105"/>
      <c r="W50" s="105"/>
      <c r="X50" s="105"/>
      <c r="Y50" s="105"/>
      <c r="Z50" s="105"/>
      <c r="AA50" s="105"/>
      <c r="AB50" s="105"/>
      <c r="AC50" s="105"/>
      <c r="AD50" s="105"/>
      <c r="AE50" s="105"/>
      <c r="AF50" s="105"/>
      <c r="AG50" s="105"/>
    </row>
    <row r="51" spans="1:33" ht="30" customHeight="1" x14ac:dyDescent="0.4">
      <c r="B51" s="194" t="s">
        <v>31</v>
      </c>
      <c r="C51" s="37">
        <v>1</v>
      </c>
      <c r="D51" s="51">
        <f>VLOOKUP($C51,'Example Site 1'!$A$3:$N$32,14,FALSE)</f>
        <v>1980.4508260000002</v>
      </c>
      <c r="E51" s="51">
        <f>VLOOKUP($C51,'Example Site 2'!$A$3:$N$32,14,FALSE)</f>
        <v>3421.9022559999994</v>
      </c>
      <c r="F51" s="51">
        <f>VLOOKUP($C51,'Example Site 3'!$A$3:$N$32,14,FALSE)</f>
        <v>6238.2559288000011</v>
      </c>
      <c r="G51" s="51">
        <f>VLOOKUP($C51,'Site 4'!$A$3:$N$32,14,FALSE)</f>
        <v>0</v>
      </c>
      <c r="H51" s="51">
        <f>VLOOKUP($C51,'Site 5'!$A$3:$N$32,14,FALSE)</f>
        <v>0</v>
      </c>
      <c r="I51" s="51">
        <f>VLOOKUP($C51,'Site 6'!$A$3:$N$32,14,FALSE)</f>
        <v>0</v>
      </c>
      <c r="J51" s="51">
        <f>VLOOKUP($C51,'Site 7'!$A$3:$N$32,14,FALSE)</f>
        <v>0</v>
      </c>
      <c r="K51" s="51">
        <f>VLOOKUP($C51,'Site 8'!$A$3:$N$32,14,FALSE)</f>
        <v>0</v>
      </c>
      <c r="V51" s="105"/>
      <c r="W51" s="105"/>
      <c r="X51" s="105"/>
      <c r="Y51" s="105"/>
      <c r="Z51" s="105"/>
      <c r="AA51" s="105"/>
      <c r="AB51" s="105"/>
      <c r="AC51" s="105"/>
      <c r="AD51" s="105"/>
      <c r="AE51" s="105"/>
      <c r="AF51" s="105"/>
      <c r="AG51" s="105"/>
    </row>
    <row r="52" spans="1:33" ht="30" customHeight="1" x14ac:dyDescent="0.4">
      <c r="B52" s="194"/>
      <c r="C52" s="37">
        <v>5</v>
      </c>
      <c r="D52" s="51">
        <f>VLOOKUP($C52,'Example Site 1'!$A$3:$N$32,14,FALSE)</f>
        <v>8499.4542622980407</v>
      </c>
      <c r="E52" s="51">
        <f>VLOOKUP($C52,'Example Site 2'!$A$3:$N$32,14,FALSE)</f>
        <v>16227.257405255456</v>
      </c>
      <c r="F52" s="51">
        <f>VLOOKUP($C52,'Example Site 3'!$A$3:$N$32,14,FALSE)</f>
        <v>30461.989460454111</v>
      </c>
      <c r="G52" s="51">
        <f>VLOOKUP($C52,'Site 4'!$A$3:$N$32,14,FALSE)</f>
        <v>0</v>
      </c>
      <c r="H52" s="51">
        <f>VLOOKUP($C52,'Site 5'!$A$3:$N$32,14,FALSE)</f>
        <v>0</v>
      </c>
      <c r="I52" s="51">
        <f>VLOOKUP($C52,'Site 6'!$A$3:$N$32,14,FALSE)</f>
        <v>0</v>
      </c>
      <c r="J52" s="51">
        <f>VLOOKUP($C52,'Site 7'!$A$3:$N$32,14,FALSE)</f>
        <v>0</v>
      </c>
      <c r="K52" s="51">
        <f>VLOOKUP($C52,'Site 8'!$A$3:$N$32,14,FALSE)</f>
        <v>0</v>
      </c>
      <c r="V52" s="105"/>
      <c r="W52" s="105"/>
      <c r="X52" s="105"/>
      <c r="Y52" s="105"/>
      <c r="Z52" s="105"/>
      <c r="AA52" s="105"/>
      <c r="AB52" s="105"/>
      <c r="AC52" s="105"/>
      <c r="AD52" s="105"/>
      <c r="AE52" s="105"/>
      <c r="AF52" s="105"/>
      <c r="AG52" s="105"/>
    </row>
    <row r="53" spans="1:33" ht="30" customHeight="1" x14ac:dyDescent="0.4">
      <c r="B53" s="194"/>
      <c r="C53" s="37">
        <v>10</v>
      </c>
      <c r="D53" s="51">
        <f>VLOOKUP($C53,'Example Site 1'!$A$3:$N$32,14,FALSE)</f>
        <v>13704.161654390624</v>
      </c>
      <c r="E53" s="51">
        <f>VLOOKUP($C53,'Example Site 2'!$A$3:$N$32,14,FALSE)</f>
        <v>15696.512326054601</v>
      </c>
      <c r="F53" s="51">
        <f>VLOOKUP($C53,'Example Site 3'!$A$3:$N$32,14,FALSE)</f>
        <v>15305.471216267524</v>
      </c>
      <c r="G53" s="51">
        <f>VLOOKUP($C53,'Site 4'!$A$3:$N$32,14,FALSE)</f>
        <v>0</v>
      </c>
      <c r="H53" s="51">
        <f>VLOOKUP($C53,'Site 5'!$A$3:$N$32,14,FALSE)</f>
        <v>0</v>
      </c>
      <c r="I53" s="51">
        <f>VLOOKUP($C53,'Site 6'!$A$3:$N$32,14,FALSE)</f>
        <v>0</v>
      </c>
      <c r="J53" s="51">
        <f>VLOOKUP($C53,'Site 7'!$A$3:$N$32,14,FALSE)</f>
        <v>0</v>
      </c>
      <c r="K53" s="51">
        <f>VLOOKUP($C53,'Site 8'!$A$3:$N$32,14,FALSE)</f>
        <v>0</v>
      </c>
      <c r="V53" s="105"/>
      <c r="W53" s="105"/>
      <c r="X53" s="105"/>
      <c r="Y53" s="105"/>
      <c r="Z53" s="105"/>
      <c r="AA53" s="105"/>
      <c r="AB53" s="105"/>
      <c r="AC53" s="105"/>
      <c r="AD53" s="105"/>
      <c r="AE53" s="105"/>
      <c r="AF53" s="105"/>
      <c r="AG53" s="105"/>
    </row>
    <row r="54" spans="1:33" ht="30" customHeight="1" x14ac:dyDescent="0.4">
      <c r="B54" s="194"/>
      <c r="C54" s="37">
        <v>15</v>
      </c>
      <c r="D54" s="51">
        <f>VLOOKUP($C54,'Example Site 1'!$A$3:$N$32,14,FALSE)</f>
        <v>13723.567944733069</v>
      </c>
      <c r="E54" s="51">
        <f>VLOOKUP($C54,'Example Site 2'!$A$3:$N$32,14,FALSE)</f>
        <v>12586.336360957832</v>
      </c>
      <c r="F54" s="51">
        <f>VLOOKUP($C54,'Example Site 3'!$A$3:$N$32,14,FALSE)</f>
        <v>-3759.9772337120394</v>
      </c>
      <c r="G54" s="51">
        <f>VLOOKUP($C54,'Site 4'!$A$3:$N$32,14,FALSE)</f>
        <v>0</v>
      </c>
      <c r="H54" s="51">
        <f>VLOOKUP($C54,'Site 5'!$A$3:$N$32,14,FALSE)</f>
        <v>0</v>
      </c>
      <c r="I54" s="51">
        <f>VLOOKUP($C54,'Site 6'!$A$3:$N$32,14,FALSE)</f>
        <v>0</v>
      </c>
      <c r="J54" s="51">
        <f>VLOOKUP($C54,'Site 7'!$A$3:$N$32,14,FALSE)</f>
        <v>0</v>
      </c>
      <c r="K54" s="51">
        <f>VLOOKUP($C54,'Site 8'!$A$3:$N$32,14,FALSE)</f>
        <v>0</v>
      </c>
      <c r="V54" s="105"/>
      <c r="W54" s="105"/>
      <c r="X54" s="105"/>
      <c r="Y54" s="105"/>
      <c r="Z54" s="105"/>
      <c r="AA54" s="105"/>
      <c r="AB54" s="105"/>
      <c r="AC54" s="105"/>
      <c r="AD54" s="105"/>
      <c r="AE54" s="105"/>
      <c r="AF54" s="105"/>
      <c r="AG54" s="105"/>
    </row>
    <row r="55" spans="1:33" ht="30" customHeight="1" x14ac:dyDescent="0.4">
      <c r="B55" s="194"/>
      <c r="C55" s="37">
        <v>20</v>
      </c>
      <c r="D55" s="51">
        <f>VLOOKUP($C55,'Example Site 1'!$A$3:$N$32,14,FALSE)</f>
        <v>23416.867175467651</v>
      </c>
      <c r="E55" s="51">
        <f>VLOOKUP($C55,'Example Site 2'!$A$3:$N$32,14,FALSE)</f>
        <v>10780.118435343815</v>
      </c>
      <c r="F55" s="51">
        <f>VLOOKUP($C55,'Example Site 3'!$A$3:$N$32,14,FALSE)</f>
        <v>-15670.676074256911</v>
      </c>
      <c r="G55" s="51">
        <f>VLOOKUP($C55,'Site 4'!$A$3:$N$32,14,FALSE)</f>
        <v>0</v>
      </c>
      <c r="H55" s="51">
        <f>VLOOKUP($C55,'Site 5'!$A$3:$N$32,14,FALSE)</f>
        <v>0</v>
      </c>
      <c r="I55" s="51">
        <f>VLOOKUP($C55,'Site 6'!$A$3:$N$32,14,FALSE)</f>
        <v>0</v>
      </c>
      <c r="J55" s="51">
        <f>VLOOKUP($C55,'Site 7'!$A$3:$N$32,14,FALSE)</f>
        <v>0</v>
      </c>
      <c r="K55" s="51">
        <f>VLOOKUP($C55,'Site 8'!$A$3:$N$32,14,FALSE)</f>
        <v>0</v>
      </c>
      <c r="V55" s="105"/>
      <c r="W55" s="105"/>
      <c r="X55" s="105"/>
      <c r="Y55" s="105"/>
      <c r="Z55" s="105"/>
      <c r="AA55" s="105"/>
      <c r="AB55" s="105"/>
      <c r="AC55" s="105"/>
      <c r="AD55" s="105"/>
      <c r="AE55" s="105"/>
      <c r="AF55" s="105"/>
      <c r="AG55" s="105"/>
    </row>
    <row r="56" spans="1:33" ht="30" customHeight="1" x14ac:dyDescent="0.4">
      <c r="B56" s="194"/>
      <c r="C56" s="37">
        <v>25</v>
      </c>
      <c r="D56" s="51">
        <f>VLOOKUP($C56,'Example Site 1'!$A$3:$N$32,14,FALSE)</f>
        <v>32674.558098249763</v>
      </c>
      <c r="E56" s="51">
        <f>VLOOKUP($C56,'Example Site 2'!$A$3:$N$32,14,FALSE)</f>
        <v>10136.38928536361</v>
      </c>
      <c r="F56" s="51">
        <f>VLOOKUP($C56,'Example Site 3'!$A$3:$N$32,14,FALSE)</f>
        <v>96574.461556332128</v>
      </c>
      <c r="G56" s="51">
        <f>VLOOKUP($C56,'Site 4'!$A$3:$N$32,14,FALSE)</f>
        <v>0</v>
      </c>
      <c r="H56" s="51">
        <f>VLOOKUP($C56,'Site 5'!$A$3:$N$32,14,FALSE)</f>
        <v>0</v>
      </c>
      <c r="I56" s="51">
        <f>VLOOKUP($C56,'Site 6'!$A$3:$N$32,14,FALSE)</f>
        <v>0</v>
      </c>
      <c r="J56" s="51">
        <f>VLOOKUP($C56,'Site 7'!$A$3:$N$32,14,FALSE)</f>
        <v>0</v>
      </c>
      <c r="K56" s="51">
        <f>VLOOKUP($C56,'Site 8'!$A$3:$N$32,14,FALSE)</f>
        <v>0</v>
      </c>
      <c r="V56" s="105"/>
      <c r="W56" s="105"/>
      <c r="X56" s="105"/>
      <c r="Y56" s="105"/>
      <c r="Z56" s="105"/>
      <c r="AA56" s="105"/>
      <c r="AB56" s="105"/>
      <c r="AC56" s="105"/>
      <c r="AD56" s="105"/>
      <c r="AE56" s="105"/>
      <c r="AF56" s="105"/>
      <c r="AG56" s="105"/>
    </row>
    <row r="57" spans="1:33" ht="30" customHeight="1" x14ac:dyDescent="0.4">
      <c r="B57" s="194"/>
      <c r="C57" s="37">
        <v>30</v>
      </c>
      <c r="D57" s="51">
        <f>VLOOKUP($C57,'Example Site 1'!$A$3:$N$32,14,FALSE)</f>
        <v>41516.21656578347</v>
      </c>
      <c r="E57" s="51">
        <f>VLOOKUP($C57,'Example Site 2'!$A$3:$N$32,14,FALSE)</f>
        <v>46071.499774893033</v>
      </c>
      <c r="F57" s="51">
        <f>VLOOKUP($C57,'Example Site 3'!$A$3:$N$32,14,FALSE)</f>
        <v>203775.40181765793</v>
      </c>
      <c r="G57" s="51">
        <f>VLOOKUP($C57,'Site 4'!$A$3:$N$32,14,FALSE)</f>
        <v>0</v>
      </c>
      <c r="H57" s="51">
        <f>VLOOKUP($C57,'Site 5'!$A$3:$N$32,14,FALSE)</f>
        <v>0</v>
      </c>
      <c r="I57" s="51">
        <f>VLOOKUP($C57,'Site 6'!$A$3:$N$32,14,FALSE)</f>
        <v>0</v>
      </c>
      <c r="J57" s="51">
        <f>VLOOKUP($C57,'Site 7'!$A$3:$N$32,14,FALSE)</f>
        <v>0</v>
      </c>
      <c r="K57" s="51">
        <f>VLOOKUP($C57,'Site 8'!$A$3:$N$32,14,FALSE)</f>
        <v>0</v>
      </c>
      <c r="V57" s="105"/>
      <c r="W57" s="105"/>
      <c r="X57" s="105"/>
      <c r="Y57" s="105"/>
      <c r="Z57" s="105"/>
      <c r="AA57" s="105"/>
      <c r="AB57" s="105"/>
      <c r="AC57" s="105"/>
      <c r="AD57" s="105"/>
      <c r="AE57" s="105"/>
      <c r="AF57" s="105"/>
      <c r="AG57" s="105"/>
    </row>
    <row r="58" spans="1:33" ht="33" customHeight="1" x14ac:dyDescent="0.4">
      <c r="C58" s="37" t="s">
        <v>59</v>
      </c>
      <c r="D58" s="51">
        <f>IF(D32="None", D57*0,D57*D32)</f>
        <v>0</v>
      </c>
      <c r="E58" s="51">
        <f t="shared" ref="E58:K58" si="2">IF(E32="None", E57*0,E57*E32)</f>
        <v>39160.77480865908</v>
      </c>
      <c r="F58" s="51">
        <f t="shared" si="2"/>
        <v>173209.09154500923</v>
      </c>
      <c r="G58" s="51">
        <f t="shared" si="2"/>
        <v>0</v>
      </c>
      <c r="H58" s="51">
        <f t="shared" si="2"/>
        <v>0</v>
      </c>
      <c r="I58" s="51">
        <f t="shared" si="2"/>
        <v>0</v>
      </c>
      <c r="J58" s="51">
        <f t="shared" si="2"/>
        <v>0</v>
      </c>
      <c r="K58" s="51">
        <f t="shared" si="2"/>
        <v>0</v>
      </c>
      <c r="V58" s="105"/>
      <c r="W58" s="105"/>
      <c r="X58" s="105"/>
      <c r="Y58" s="105"/>
      <c r="Z58" s="105"/>
      <c r="AA58" s="105"/>
      <c r="AB58" s="105"/>
      <c r="AC58" s="105"/>
      <c r="AD58" s="105"/>
      <c r="AE58" s="105"/>
      <c r="AF58" s="105"/>
      <c r="AG58" s="105"/>
    </row>
    <row r="59" spans="1:33" ht="36.65" customHeight="1" x14ac:dyDescent="0.4">
      <c r="C59" s="201" t="s">
        <v>6</v>
      </c>
      <c r="D59" s="202"/>
      <c r="E59" s="202"/>
      <c r="F59" s="202"/>
      <c r="G59" s="202"/>
      <c r="H59" s="202"/>
      <c r="I59" s="202"/>
      <c r="J59" s="202"/>
      <c r="K59" s="8"/>
      <c r="V59" s="105"/>
      <c r="W59" s="105"/>
      <c r="X59" s="105"/>
      <c r="Y59" s="105"/>
      <c r="Z59" s="105"/>
      <c r="AA59" s="105"/>
      <c r="AB59" s="105"/>
      <c r="AC59" s="105"/>
      <c r="AD59" s="105"/>
      <c r="AE59" s="105"/>
      <c r="AF59" s="105"/>
      <c r="AG59" s="105"/>
    </row>
    <row r="60" spans="1:33" s="2" customFormat="1" ht="16.5" customHeight="1" x14ac:dyDescent="0.4">
      <c r="A60" s="1"/>
      <c r="C60" s="17"/>
      <c r="D60" s="17"/>
      <c r="E60" s="17"/>
      <c r="L60" s="1"/>
      <c r="M60" s="1"/>
      <c r="N60" s="1"/>
      <c r="O60" s="1"/>
      <c r="P60" s="1"/>
      <c r="Q60" s="1"/>
      <c r="R60" s="1"/>
      <c r="S60" s="1"/>
      <c r="T60" s="1"/>
      <c r="U60" s="1"/>
      <c r="V60" s="74"/>
      <c r="W60" s="74"/>
      <c r="X60" s="74"/>
      <c r="Y60" s="74"/>
      <c r="Z60" s="74"/>
      <c r="AA60" s="74"/>
      <c r="AB60" s="74"/>
      <c r="AC60" s="74"/>
      <c r="AD60" s="74"/>
      <c r="AE60" s="74"/>
      <c r="AF60" s="74"/>
      <c r="AG60" s="74"/>
    </row>
    <row r="61" spans="1:33" ht="15.65" customHeight="1" x14ac:dyDescent="0.4">
      <c r="C61" s="199" t="s">
        <v>53</v>
      </c>
      <c r="D61" s="200"/>
      <c r="E61" s="200"/>
      <c r="F61" s="200"/>
      <c r="G61" s="200"/>
      <c r="H61" s="200"/>
      <c r="I61" s="200"/>
      <c r="J61" s="200"/>
      <c r="K61" s="52"/>
      <c r="V61" s="105"/>
      <c r="W61" s="105"/>
      <c r="X61" s="105"/>
      <c r="Y61" s="105"/>
      <c r="Z61" s="105"/>
      <c r="AA61" s="105"/>
      <c r="AB61" s="105"/>
      <c r="AC61" s="105"/>
      <c r="AD61" s="105"/>
      <c r="AE61" s="105"/>
      <c r="AF61" s="105"/>
      <c r="AG61" s="105"/>
    </row>
    <row r="62" spans="1:33" x14ac:dyDescent="0.4">
      <c r="V62" s="105"/>
      <c r="W62" s="105"/>
      <c r="X62" s="105"/>
      <c r="Y62" s="105"/>
      <c r="Z62" s="105"/>
      <c r="AA62" s="105"/>
      <c r="AB62" s="105"/>
      <c r="AC62" s="105"/>
      <c r="AD62" s="105"/>
      <c r="AE62" s="105"/>
      <c r="AF62" s="105"/>
      <c r="AG62" s="105"/>
    </row>
    <row r="63" spans="1:33" x14ac:dyDescent="0.4">
      <c r="V63" s="105"/>
      <c r="W63" s="105"/>
      <c r="X63" s="105"/>
      <c r="Y63" s="105"/>
      <c r="Z63" s="105"/>
      <c r="AA63" s="105"/>
      <c r="AB63" s="105"/>
      <c r="AC63" s="105"/>
      <c r="AD63" s="105"/>
      <c r="AE63" s="105"/>
      <c r="AF63" s="105"/>
      <c r="AG63" s="105"/>
    </row>
    <row r="64" spans="1:33" x14ac:dyDescent="0.4">
      <c r="V64" s="105"/>
      <c r="W64" s="105"/>
      <c r="X64" s="105"/>
      <c r="Y64" s="105"/>
      <c r="Z64" s="105"/>
      <c r="AA64" s="105"/>
      <c r="AB64" s="105"/>
      <c r="AC64" s="105"/>
      <c r="AD64" s="105"/>
      <c r="AE64" s="105"/>
      <c r="AF64" s="105"/>
      <c r="AG64" s="105"/>
    </row>
    <row r="65" spans="3:33" x14ac:dyDescent="0.4">
      <c r="V65" s="105"/>
      <c r="W65" s="105"/>
      <c r="X65" s="105"/>
      <c r="Y65" s="105"/>
      <c r="Z65" s="105"/>
      <c r="AA65" s="105"/>
      <c r="AB65" s="105"/>
      <c r="AC65" s="105"/>
      <c r="AD65" s="105"/>
      <c r="AE65" s="105"/>
      <c r="AF65" s="105"/>
      <c r="AG65" s="105"/>
    </row>
    <row r="66" spans="3:33" x14ac:dyDescent="0.4">
      <c r="V66" s="105"/>
      <c r="W66" s="105"/>
      <c r="X66" s="105"/>
      <c r="Y66" s="105"/>
      <c r="Z66" s="105"/>
      <c r="AA66" s="105"/>
      <c r="AB66" s="105"/>
      <c r="AC66" s="105"/>
      <c r="AD66" s="105"/>
      <c r="AE66" s="105"/>
      <c r="AF66" s="105"/>
      <c r="AG66" s="105"/>
    </row>
    <row r="67" spans="3:33" x14ac:dyDescent="0.4">
      <c r="V67" s="105"/>
      <c r="W67" s="105"/>
      <c r="X67" s="105"/>
      <c r="Y67" s="105"/>
      <c r="Z67" s="105"/>
      <c r="AA67" s="105"/>
      <c r="AB67" s="105"/>
      <c r="AC67" s="105"/>
      <c r="AD67" s="105"/>
      <c r="AE67" s="105"/>
      <c r="AF67" s="105"/>
      <c r="AG67" s="105"/>
    </row>
    <row r="68" spans="3:33" x14ac:dyDescent="0.4">
      <c r="V68" s="105"/>
      <c r="W68" s="105"/>
      <c r="X68" s="105"/>
      <c r="Y68" s="105"/>
      <c r="Z68" s="105"/>
      <c r="AA68" s="105"/>
      <c r="AB68" s="105"/>
      <c r="AC68" s="105"/>
      <c r="AD68" s="105"/>
      <c r="AE68" s="105"/>
      <c r="AF68" s="105"/>
      <c r="AG68" s="105"/>
    </row>
    <row r="69" spans="3:33" x14ac:dyDescent="0.4">
      <c r="V69" s="105"/>
      <c r="W69" s="105"/>
      <c r="X69" s="105"/>
      <c r="Y69" s="105"/>
      <c r="Z69" s="105"/>
      <c r="AA69" s="105"/>
      <c r="AB69" s="105"/>
      <c r="AC69" s="105"/>
      <c r="AD69" s="105"/>
      <c r="AE69" s="105"/>
      <c r="AF69" s="105"/>
      <c r="AG69" s="105"/>
    </row>
    <row r="70" spans="3:33" x14ac:dyDescent="0.4">
      <c r="V70" s="105"/>
      <c r="W70" s="105"/>
      <c r="X70" s="105"/>
      <c r="Y70" s="105"/>
      <c r="Z70" s="105"/>
      <c r="AA70" s="105"/>
      <c r="AB70" s="105"/>
      <c r="AC70" s="105"/>
      <c r="AD70" s="105"/>
      <c r="AE70" s="105"/>
      <c r="AF70" s="105"/>
      <c r="AG70" s="105"/>
    </row>
    <row r="71" spans="3:33" x14ac:dyDescent="0.4">
      <c r="V71" s="105"/>
      <c r="W71" s="105"/>
      <c r="X71" s="105"/>
      <c r="Y71" s="105"/>
      <c r="Z71" s="105"/>
      <c r="AA71" s="105"/>
      <c r="AB71" s="105"/>
      <c r="AC71" s="105"/>
      <c r="AD71" s="105"/>
      <c r="AE71" s="105"/>
      <c r="AF71" s="105"/>
      <c r="AG71" s="105"/>
    </row>
    <row r="72" spans="3:33" x14ac:dyDescent="0.4">
      <c r="L72" s="1" t="s">
        <v>37</v>
      </c>
      <c r="V72" s="105"/>
      <c r="W72" s="105"/>
      <c r="X72" s="105"/>
      <c r="Y72" s="105"/>
      <c r="Z72" s="105"/>
      <c r="AA72" s="105"/>
      <c r="AB72" s="105"/>
      <c r="AC72" s="105"/>
      <c r="AD72" s="105"/>
      <c r="AE72" s="105"/>
      <c r="AF72" s="105"/>
      <c r="AG72" s="105"/>
    </row>
    <row r="73" spans="3:33" x14ac:dyDescent="0.4">
      <c r="V73" s="105"/>
      <c r="W73" s="105"/>
      <c r="X73" s="105"/>
      <c r="Y73" s="105"/>
      <c r="Z73" s="105"/>
      <c r="AA73" s="105"/>
      <c r="AB73" s="105"/>
      <c r="AC73" s="105"/>
      <c r="AD73" s="105"/>
      <c r="AE73" s="105"/>
      <c r="AF73" s="105"/>
      <c r="AG73" s="105"/>
    </row>
    <row r="74" spans="3:33" x14ac:dyDescent="0.4">
      <c r="V74" s="105"/>
      <c r="W74" s="105"/>
      <c r="X74" s="105"/>
      <c r="Y74" s="105"/>
      <c r="Z74" s="105"/>
      <c r="AA74" s="105"/>
      <c r="AB74" s="105"/>
      <c r="AC74" s="105"/>
      <c r="AD74" s="105"/>
      <c r="AE74" s="105"/>
      <c r="AF74" s="105"/>
      <c r="AG74" s="105"/>
    </row>
    <row r="75" spans="3:33" x14ac:dyDescent="0.4">
      <c r="V75" s="105"/>
      <c r="W75" s="105"/>
      <c r="X75" s="105"/>
      <c r="Y75" s="105"/>
      <c r="Z75" s="105"/>
      <c r="AA75" s="105"/>
      <c r="AB75" s="105"/>
      <c r="AC75" s="105"/>
      <c r="AD75" s="105"/>
      <c r="AE75" s="105"/>
      <c r="AF75" s="105"/>
      <c r="AG75" s="105"/>
    </row>
    <row r="76" spans="3:33" x14ac:dyDescent="0.4">
      <c r="V76" s="105"/>
      <c r="W76" s="105"/>
      <c r="X76" s="105"/>
      <c r="Y76" s="105"/>
      <c r="Z76" s="105"/>
      <c r="AA76" s="105"/>
      <c r="AB76" s="105"/>
      <c r="AC76" s="105"/>
      <c r="AD76" s="105"/>
      <c r="AE76" s="105"/>
      <c r="AF76" s="105"/>
      <c r="AG76" s="105"/>
    </row>
    <row r="77" spans="3:33" x14ac:dyDescent="0.4">
      <c r="V77" s="105"/>
      <c r="W77" s="105"/>
      <c r="X77" s="105"/>
      <c r="Y77" s="105"/>
      <c r="Z77" s="105"/>
      <c r="AA77" s="105"/>
      <c r="AB77" s="105"/>
      <c r="AC77" s="105"/>
      <c r="AD77" s="105"/>
      <c r="AE77" s="105"/>
      <c r="AF77" s="105"/>
      <c r="AG77" s="105"/>
    </row>
    <row r="78" spans="3:33" x14ac:dyDescent="0.4">
      <c r="V78" s="105"/>
      <c r="W78" s="105"/>
      <c r="X78" s="105"/>
      <c r="Y78" s="105"/>
      <c r="Z78" s="105"/>
      <c r="AA78" s="105"/>
      <c r="AB78" s="105"/>
      <c r="AC78" s="105"/>
      <c r="AD78" s="105"/>
      <c r="AE78" s="105"/>
      <c r="AF78" s="105"/>
      <c r="AG78" s="105"/>
    </row>
    <row r="79" spans="3:33" x14ac:dyDescent="0.4">
      <c r="C79" s="1"/>
      <c r="D79" s="1"/>
      <c r="E79" s="1"/>
      <c r="F79" s="1"/>
      <c r="G79" s="1"/>
      <c r="H79" s="1"/>
      <c r="I79" s="1"/>
      <c r="J79" s="1"/>
      <c r="V79" s="105"/>
      <c r="W79" s="105"/>
      <c r="X79" s="105"/>
      <c r="Y79" s="105"/>
      <c r="Z79" s="105"/>
      <c r="AA79" s="105"/>
      <c r="AB79" s="105"/>
      <c r="AC79" s="105"/>
      <c r="AD79" s="105"/>
      <c r="AE79" s="105"/>
      <c r="AF79" s="105"/>
      <c r="AG79" s="105"/>
    </row>
    <row r="80" spans="3:33" ht="338.5" customHeight="1" x14ac:dyDescent="0.4">
      <c r="C80" s="1"/>
      <c r="D80" s="1"/>
      <c r="E80" s="1"/>
      <c r="F80" s="1"/>
      <c r="G80" s="1"/>
      <c r="H80" s="1"/>
      <c r="I80" s="1"/>
      <c r="J80" s="1"/>
      <c r="V80" s="105"/>
      <c r="W80" s="105"/>
      <c r="X80" s="105"/>
      <c r="Y80" s="105"/>
      <c r="Z80" s="105"/>
      <c r="AA80" s="105"/>
      <c r="AB80" s="105"/>
      <c r="AC80" s="105"/>
      <c r="AD80" s="105"/>
      <c r="AE80" s="105"/>
      <c r="AF80" s="105"/>
      <c r="AG80" s="105"/>
    </row>
    <row r="81" spans="22:33" s="1" customFormat="1" x14ac:dyDescent="0.4">
      <c r="V81" s="74"/>
      <c r="W81" s="74"/>
      <c r="X81" s="74"/>
      <c r="Y81" s="74"/>
      <c r="Z81" s="74"/>
      <c r="AA81" s="74"/>
      <c r="AB81" s="74"/>
      <c r="AC81" s="74"/>
      <c r="AD81" s="74"/>
      <c r="AE81" s="74"/>
      <c r="AF81" s="74"/>
      <c r="AG81" s="74"/>
    </row>
    <row r="82" spans="22:33" s="1" customFormat="1" x14ac:dyDescent="0.4">
      <c r="V82" s="74"/>
      <c r="W82" s="74"/>
      <c r="X82" s="74"/>
      <c r="Y82" s="74"/>
      <c r="Z82" s="74"/>
      <c r="AA82" s="74"/>
      <c r="AB82" s="74"/>
      <c r="AC82" s="74"/>
      <c r="AD82" s="74"/>
      <c r="AE82" s="74"/>
      <c r="AF82" s="74"/>
      <c r="AG82" s="74"/>
    </row>
    <row r="83" spans="22:33" s="1" customFormat="1" x14ac:dyDescent="0.4">
      <c r="V83" s="74"/>
      <c r="W83" s="74"/>
      <c r="X83" s="74"/>
      <c r="Y83" s="74"/>
      <c r="Z83" s="74"/>
      <c r="AA83" s="74"/>
      <c r="AB83" s="74"/>
      <c r="AC83" s="74"/>
      <c r="AD83" s="74"/>
      <c r="AE83" s="74"/>
      <c r="AF83" s="74"/>
      <c r="AG83" s="74"/>
    </row>
    <row r="84" spans="22:33" s="1" customFormat="1" x14ac:dyDescent="0.4">
      <c r="V84" s="74"/>
      <c r="W84" s="74"/>
      <c r="X84" s="74"/>
      <c r="Y84" s="74"/>
      <c r="Z84" s="74"/>
      <c r="AA84" s="74"/>
      <c r="AB84" s="74"/>
      <c r="AC84" s="74"/>
      <c r="AD84" s="74"/>
      <c r="AE84" s="74"/>
      <c r="AF84" s="74"/>
      <c r="AG84" s="74"/>
    </row>
    <row r="85" spans="22:33" s="1" customFormat="1" x14ac:dyDescent="0.4">
      <c r="V85" s="74"/>
      <c r="W85" s="74"/>
      <c r="X85" s="74"/>
      <c r="Y85" s="74"/>
      <c r="Z85" s="74"/>
      <c r="AA85" s="74"/>
      <c r="AB85" s="74"/>
      <c r="AC85" s="74"/>
      <c r="AD85" s="74"/>
      <c r="AE85" s="74"/>
      <c r="AF85" s="74"/>
      <c r="AG85" s="74"/>
    </row>
    <row r="86" spans="22:33" s="1" customFormat="1" x14ac:dyDescent="0.4">
      <c r="V86" s="74"/>
      <c r="W86" s="74"/>
      <c r="X86" s="74"/>
      <c r="Y86" s="74"/>
      <c r="Z86" s="74"/>
      <c r="AA86" s="74"/>
      <c r="AB86" s="74"/>
      <c r="AC86" s="74"/>
      <c r="AD86" s="74"/>
      <c r="AE86" s="74"/>
      <c r="AF86" s="74"/>
      <c r="AG86" s="74"/>
    </row>
    <row r="87" spans="22:33" s="1" customFormat="1" x14ac:dyDescent="0.4">
      <c r="V87" s="74"/>
      <c r="W87" s="74"/>
      <c r="X87" s="74"/>
      <c r="Y87" s="74"/>
      <c r="Z87" s="74"/>
      <c r="AA87" s="74"/>
      <c r="AB87" s="74"/>
      <c r="AC87" s="74"/>
      <c r="AD87" s="74"/>
      <c r="AE87" s="74"/>
      <c r="AF87" s="74"/>
      <c r="AG87" s="74"/>
    </row>
    <row r="88" spans="22:33" s="1" customFormat="1" x14ac:dyDescent="0.4">
      <c r="V88" s="74"/>
      <c r="W88" s="74"/>
      <c r="X88" s="74"/>
      <c r="Y88" s="74"/>
      <c r="Z88" s="74"/>
      <c r="AA88" s="74"/>
      <c r="AB88" s="74"/>
      <c r="AC88" s="74"/>
      <c r="AD88" s="74"/>
      <c r="AE88" s="74"/>
      <c r="AF88" s="74"/>
      <c r="AG88" s="74"/>
    </row>
    <row r="89" spans="22:33" s="1" customFormat="1" x14ac:dyDescent="0.4">
      <c r="V89" s="74"/>
      <c r="W89" s="74"/>
      <c r="X89" s="74"/>
      <c r="Y89" s="74"/>
      <c r="Z89" s="74"/>
      <c r="AA89" s="74"/>
      <c r="AB89" s="74"/>
      <c r="AC89" s="74"/>
      <c r="AD89" s="74"/>
      <c r="AE89" s="74"/>
      <c r="AF89" s="74"/>
      <c r="AG89" s="74"/>
    </row>
    <row r="90" spans="22:33" s="1" customFormat="1" x14ac:dyDescent="0.4">
      <c r="V90" s="74"/>
      <c r="W90" s="74"/>
      <c r="X90" s="74"/>
      <c r="Y90" s="74"/>
      <c r="Z90" s="74"/>
      <c r="AA90" s="74"/>
      <c r="AB90" s="74"/>
      <c r="AC90" s="74"/>
      <c r="AD90" s="74"/>
      <c r="AE90" s="74"/>
      <c r="AF90" s="74"/>
      <c r="AG90" s="74"/>
    </row>
    <row r="91" spans="22:33" s="1" customFormat="1" x14ac:dyDescent="0.4">
      <c r="V91" s="74"/>
      <c r="W91" s="74"/>
      <c r="X91" s="74"/>
      <c r="Y91" s="74"/>
      <c r="Z91" s="74"/>
      <c r="AA91" s="74"/>
      <c r="AB91" s="74"/>
      <c r="AC91" s="74"/>
      <c r="AD91" s="74"/>
      <c r="AE91" s="74"/>
      <c r="AF91" s="74"/>
      <c r="AG91" s="74"/>
    </row>
    <row r="92" spans="22:33" s="1" customFormat="1" x14ac:dyDescent="0.4">
      <c r="V92" s="74"/>
      <c r="W92" s="74"/>
      <c r="X92" s="74"/>
      <c r="Y92" s="74"/>
      <c r="Z92" s="74"/>
      <c r="AA92" s="74"/>
      <c r="AB92" s="74"/>
      <c r="AC92" s="74"/>
      <c r="AD92" s="74"/>
      <c r="AE92" s="74"/>
      <c r="AF92" s="74"/>
      <c r="AG92" s="74"/>
    </row>
    <row r="93" spans="22:33" s="1" customFormat="1" x14ac:dyDescent="0.4">
      <c r="V93" s="74"/>
      <c r="W93" s="74"/>
      <c r="X93" s="74"/>
      <c r="Y93" s="74"/>
      <c r="Z93" s="74"/>
      <c r="AA93" s="74"/>
      <c r="AB93" s="74"/>
      <c r="AC93" s="74"/>
      <c r="AD93" s="74"/>
      <c r="AE93" s="74"/>
      <c r="AF93" s="74"/>
      <c r="AG93" s="74"/>
    </row>
    <row r="94" spans="22:33" s="1" customFormat="1" x14ac:dyDescent="0.4">
      <c r="V94" s="74"/>
      <c r="W94" s="74"/>
      <c r="X94" s="74"/>
      <c r="Y94" s="74"/>
      <c r="Z94" s="74"/>
      <c r="AA94" s="74"/>
      <c r="AB94" s="74"/>
      <c r="AC94" s="74"/>
      <c r="AD94" s="74"/>
      <c r="AE94" s="74"/>
      <c r="AF94" s="74"/>
      <c r="AG94" s="74"/>
    </row>
    <row r="95" spans="22:33" s="1" customFormat="1" x14ac:dyDescent="0.4">
      <c r="V95" s="74"/>
      <c r="W95" s="74"/>
      <c r="X95" s="74"/>
      <c r="Y95" s="74"/>
      <c r="Z95" s="74"/>
      <c r="AA95" s="74"/>
      <c r="AB95" s="74"/>
      <c r="AC95" s="74"/>
      <c r="AD95" s="74"/>
      <c r="AE95" s="74"/>
      <c r="AF95" s="74"/>
      <c r="AG95" s="74"/>
    </row>
    <row r="96" spans="22:33" s="1" customFormat="1" x14ac:dyDescent="0.4">
      <c r="V96" s="74"/>
      <c r="W96" s="74"/>
      <c r="X96" s="74"/>
      <c r="Y96" s="74"/>
      <c r="Z96" s="74"/>
      <c r="AA96" s="74"/>
      <c r="AB96" s="74"/>
      <c r="AC96" s="74"/>
      <c r="AD96" s="74"/>
      <c r="AE96" s="74"/>
      <c r="AF96" s="74"/>
      <c r="AG96" s="74"/>
    </row>
    <row r="97" spans="22:33" s="1" customFormat="1" x14ac:dyDescent="0.4">
      <c r="V97" s="74"/>
      <c r="W97" s="74"/>
      <c r="X97" s="74"/>
      <c r="Y97" s="74"/>
      <c r="Z97" s="74"/>
      <c r="AA97" s="74"/>
      <c r="AB97" s="74"/>
      <c r="AC97" s="74"/>
      <c r="AD97" s="74"/>
      <c r="AE97" s="74"/>
      <c r="AF97" s="74"/>
      <c r="AG97" s="74"/>
    </row>
    <row r="98" spans="22:33" s="1" customFormat="1" x14ac:dyDescent="0.4">
      <c r="V98" s="74"/>
      <c r="W98" s="74"/>
      <c r="X98" s="74"/>
      <c r="Y98" s="74"/>
      <c r="Z98" s="74"/>
      <c r="AA98" s="74"/>
      <c r="AB98" s="74"/>
      <c r="AC98" s="74"/>
      <c r="AD98" s="74"/>
      <c r="AE98" s="74"/>
      <c r="AF98" s="74"/>
      <c r="AG98" s="74"/>
    </row>
    <row r="99" spans="22:33" s="1" customFormat="1" x14ac:dyDescent="0.4">
      <c r="V99" s="74"/>
      <c r="W99" s="74"/>
      <c r="X99" s="74"/>
      <c r="Y99" s="74"/>
      <c r="Z99" s="74"/>
      <c r="AA99" s="74"/>
      <c r="AB99" s="74"/>
      <c r="AC99" s="74"/>
      <c r="AD99" s="74"/>
      <c r="AE99" s="74"/>
      <c r="AF99" s="74"/>
      <c r="AG99" s="74"/>
    </row>
    <row r="100" spans="22:33" s="1" customFormat="1" x14ac:dyDescent="0.4">
      <c r="V100" s="74"/>
      <c r="W100" s="74"/>
      <c r="X100" s="74"/>
      <c r="Y100" s="74"/>
      <c r="Z100" s="74"/>
      <c r="AA100" s="74"/>
      <c r="AB100" s="74"/>
      <c r="AC100" s="74"/>
      <c r="AD100" s="74"/>
      <c r="AE100" s="74"/>
      <c r="AF100" s="74"/>
      <c r="AG100" s="74"/>
    </row>
    <row r="101" spans="22:33" s="1" customFormat="1" x14ac:dyDescent="0.4">
      <c r="V101" s="74"/>
      <c r="W101" s="74"/>
      <c r="X101" s="74"/>
      <c r="Y101" s="74"/>
      <c r="Z101" s="74"/>
      <c r="AA101" s="74"/>
      <c r="AB101" s="74"/>
      <c r="AC101" s="74"/>
      <c r="AD101" s="74"/>
      <c r="AE101" s="74"/>
      <c r="AF101" s="74"/>
      <c r="AG101" s="74"/>
    </row>
    <row r="102" spans="22:33" s="1" customFormat="1" x14ac:dyDescent="0.4">
      <c r="V102" s="74"/>
      <c r="W102" s="74"/>
      <c r="X102" s="74"/>
      <c r="Y102" s="74"/>
      <c r="Z102" s="74"/>
      <c r="AA102" s="74"/>
      <c r="AB102" s="74"/>
      <c r="AC102" s="74"/>
      <c r="AD102" s="74"/>
      <c r="AE102" s="74"/>
      <c r="AF102" s="74"/>
      <c r="AG102" s="74"/>
    </row>
    <row r="103" spans="22:33" s="1" customFormat="1" x14ac:dyDescent="0.4">
      <c r="V103" s="74"/>
      <c r="W103" s="74"/>
      <c r="X103" s="74"/>
      <c r="Y103" s="74"/>
      <c r="Z103" s="74"/>
      <c r="AA103" s="74"/>
      <c r="AB103" s="74"/>
      <c r="AC103" s="74"/>
      <c r="AD103" s="74"/>
      <c r="AE103" s="74"/>
      <c r="AF103" s="74"/>
      <c r="AG103" s="74"/>
    </row>
    <row r="104" spans="22:33" s="1" customFormat="1" x14ac:dyDescent="0.4">
      <c r="V104" s="74"/>
      <c r="W104" s="74"/>
      <c r="X104" s="74"/>
      <c r="Y104" s="74"/>
      <c r="Z104" s="74"/>
      <c r="AA104" s="74"/>
      <c r="AB104" s="74"/>
      <c r="AC104" s="74"/>
      <c r="AD104" s="74"/>
      <c r="AE104" s="74"/>
      <c r="AF104" s="74"/>
      <c r="AG104" s="74"/>
    </row>
    <row r="105" spans="22:33" s="1" customFormat="1" x14ac:dyDescent="0.4">
      <c r="V105" s="74"/>
      <c r="W105" s="74"/>
      <c r="X105" s="74"/>
      <c r="Y105" s="74"/>
      <c r="Z105" s="74"/>
      <c r="AA105" s="74"/>
      <c r="AB105" s="74"/>
      <c r="AC105" s="74"/>
      <c r="AD105" s="74"/>
      <c r="AE105" s="74"/>
      <c r="AF105" s="74"/>
      <c r="AG105" s="74"/>
    </row>
    <row r="106" spans="22:33" s="1" customFormat="1" x14ac:dyDescent="0.4">
      <c r="V106" s="74"/>
      <c r="W106" s="74"/>
      <c r="X106" s="74"/>
      <c r="Y106" s="74"/>
      <c r="Z106" s="74"/>
      <c r="AA106" s="74"/>
      <c r="AB106" s="74"/>
      <c r="AC106" s="74"/>
      <c r="AD106" s="74"/>
      <c r="AE106" s="74"/>
      <c r="AF106" s="74"/>
      <c r="AG106" s="74"/>
    </row>
    <row r="107" spans="22:33" s="1" customFormat="1" x14ac:dyDescent="0.4">
      <c r="V107" s="74"/>
      <c r="W107" s="74"/>
      <c r="X107" s="74"/>
      <c r="Y107" s="74"/>
      <c r="Z107" s="74"/>
      <c r="AA107" s="74"/>
      <c r="AB107" s="74"/>
      <c r="AC107" s="74"/>
      <c r="AD107" s="74"/>
      <c r="AE107" s="74"/>
      <c r="AF107" s="74"/>
      <c r="AG107" s="74"/>
    </row>
    <row r="108" spans="22:33" s="1" customFormat="1" x14ac:dyDescent="0.4">
      <c r="V108" s="74"/>
      <c r="W108" s="74"/>
      <c r="X108" s="74"/>
      <c r="Y108" s="74"/>
      <c r="Z108" s="74"/>
      <c r="AA108" s="74"/>
      <c r="AB108" s="74"/>
      <c r="AC108" s="74"/>
      <c r="AD108" s="74"/>
      <c r="AE108" s="74"/>
      <c r="AF108" s="74"/>
      <c r="AG108" s="74"/>
    </row>
    <row r="109" spans="22:33" s="1" customFormat="1" x14ac:dyDescent="0.4">
      <c r="V109" s="74"/>
      <c r="W109" s="74"/>
      <c r="X109" s="74"/>
      <c r="Y109" s="74"/>
      <c r="Z109" s="74"/>
      <c r="AA109" s="74"/>
      <c r="AB109" s="74"/>
      <c r="AC109" s="74"/>
      <c r="AD109" s="74"/>
      <c r="AE109" s="74"/>
      <c r="AF109" s="74"/>
      <c r="AG109" s="74"/>
    </row>
    <row r="110" spans="22:33" s="1" customFormat="1" x14ac:dyDescent="0.4">
      <c r="V110" s="74"/>
      <c r="W110" s="74"/>
      <c r="X110" s="74"/>
      <c r="Y110" s="74"/>
      <c r="Z110" s="74"/>
      <c r="AA110" s="74"/>
      <c r="AB110" s="74"/>
      <c r="AC110" s="74"/>
      <c r="AD110" s="74"/>
      <c r="AE110" s="74"/>
      <c r="AF110" s="74"/>
      <c r="AG110" s="74"/>
    </row>
    <row r="111" spans="22:33" s="1" customFormat="1" x14ac:dyDescent="0.4">
      <c r="V111" s="74"/>
      <c r="W111" s="74"/>
      <c r="X111" s="74"/>
      <c r="Y111" s="74"/>
      <c r="Z111" s="74"/>
      <c r="AA111" s="74"/>
      <c r="AB111" s="74"/>
      <c r="AC111" s="74"/>
      <c r="AD111" s="74"/>
      <c r="AE111" s="74"/>
      <c r="AF111" s="74"/>
      <c r="AG111" s="74"/>
    </row>
    <row r="112" spans="22:33" s="1" customFormat="1" x14ac:dyDescent="0.4">
      <c r="V112" s="74"/>
      <c r="W112" s="74"/>
      <c r="X112" s="74"/>
      <c r="Y112" s="74"/>
      <c r="Z112" s="74"/>
      <c r="AA112" s="74"/>
      <c r="AB112" s="74"/>
      <c r="AC112" s="74"/>
      <c r="AD112" s="74"/>
      <c r="AE112" s="74"/>
      <c r="AF112" s="74"/>
      <c r="AG112" s="74"/>
    </row>
    <row r="113" spans="22:33" s="1" customFormat="1" x14ac:dyDescent="0.4">
      <c r="V113" s="74"/>
      <c r="W113" s="74"/>
      <c r="X113" s="74"/>
      <c r="Y113" s="74"/>
      <c r="Z113" s="74"/>
      <c r="AA113" s="74"/>
      <c r="AB113" s="74"/>
      <c r="AC113" s="74"/>
      <c r="AD113" s="74"/>
      <c r="AE113" s="74"/>
      <c r="AF113" s="74"/>
      <c r="AG113" s="74"/>
    </row>
    <row r="114" spans="22:33" s="1" customFormat="1" x14ac:dyDescent="0.4">
      <c r="V114" s="74"/>
      <c r="W114" s="74"/>
      <c r="X114" s="74"/>
      <c r="Y114" s="74"/>
      <c r="Z114" s="74"/>
      <c r="AA114" s="74"/>
      <c r="AB114" s="74"/>
      <c r="AC114" s="74"/>
      <c r="AD114" s="74"/>
      <c r="AE114" s="74"/>
      <c r="AF114" s="74"/>
      <c r="AG114" s="74"/>
    </row>
    <row r="115" spans="22:33" s="1" customFormat="1" x14ac:dyDescent="0.4">
      <c r="V115" s="74"/>
      <c r="W115" s="74"/>
      <c r="X115" s="74"/>
      <c r="Y115" s="74"/>
      <c r="Z115" s="74"/>
      <c r="AA115" s="74"/>
      <c r="AB115" s="74"/>
      <c r="AC115" s="74"/>
      <c r="AD115" s="74"/>
      <c r="AE115" s="74"/>
      <c r="AF115" s="74"/>
      <c r="AG115" s="74"/>
    </row>
    <row r="116" spans="22:33" s="1" customFormat="1" x14ac:dyDescent="0.4">
      <c r="V116" s="74"/>
      <c r="W116" s="74"/>
      <c r="X116" s="74"/>
      <c r="Y116" s="74"/>
      <c r="Z116" s="74"/>
      <c r="AA116" s="74"/>
      <c r="AB116" s="74"/>
      <c r="AC116" s="74"/>
      <c r="AD116" s="74"/>
      <c r="AE116" s="74"/>
      <c r="AF116" s="74"/>
      <c r="AG116" s="74"/>
    </row>
    <row r="117" spans="22:33" s="1" customFormat="1" x14ac:dyDescent="0.4">
      <c r="V117" s="74"/>
      <c r="W117" s="74"/>
      <c r="X117" s="74"/>
      <c r="Y117" s="74"/>
      <c r="Z117" s="74"/>
      <c r="AA117" s="74"/>
      <c r="AB117" s="74"/>
      <c r="AC117" s="74"/>
      <c r="AD117" s="74"/>
      <c r="AE117" s="74"/>
      <c r="AF117" s="74"/>
      <c r="AG117" s="74"/>
    </row>
    <row r="118" spans="22:33" s="1" customFormat="1" x14ac:dyDescent="0.4">
      <c r="V118" s="74"/>
      <c r="W118" s="74"/>
      <c r="X118" s="74"/>
      <c r="Y118" s="74"/>
      <c r="Z118" s="74"/>
      <c r="AA118" s="74"/>
      <c r="AB118" s="74"/>
      <c r="AC118" s="74"/>
      <c r="AD118" s="74"/>
      <c r="AE118" s="74"/>
      <c r="AF118" s="74"/>
      <c r="AG118" s="74"/>
    </row>
    <row r="119" spans="22:33" s="1" customFormat="1" x14ac:dyDescent="0.4">
      <c r="V119" s="74"/>
      <c r="W119" s="74"/>
      <c r="X119" s="74"/>
      <c r="Y119" s="74"/>
      <c r="Z119" s="74"/>
      <c r="AA119" s="74"/>
      <c r="AB119" s="74"/>
      <c r="AC119" s="74"/>
      <c r="AD119" s="74"/>
      <c r="AE119" s="74"/>
      <c r="AF119" s="74"/>
      <c r="AG119" s="74"/>
    </row>
    <row r="120" spans="22:33" s="1" customFormat="1" x14ac:dyDescent="0.4">
      <c r="V120" s="74"/>
      <c r="W120" s="74"/>
      <c r="X120" s="74"/>
      <c r="Y120" s="74"/>
      <c r="Z120" s="74"/>
      <c r="AA120" s="74"/>
      <c r="AB120" s="74"/>
      <c r="AC120" s="74"/>
      <c r="AD120" s="74"/>
      <c r="AE120" s="74"/>
      <c r="AF120" s="74"/>
      <c r="AG120" s="74"/>
    </row>
    <row r="121" spans="22:33" s="1" customFormat="1" x14ac:dyDescent="0.4">
      <c r="V121" s="74"/>
      <c r="W121" s="74"/>
      <c r="X121" s="74"/>
      <c r="Y121" s="74"/>
      <c r="Z121" s="74"/>
      <c r="AA121" s="74"/>
      <c r="AB121" s="74"/>
      <c r="AC121" s="74"/>
      <c r="AD121" s="74"/>
      <c r="AE121" s="74"/>
      <c r="AF121" s="74"/>
      <c r="AG121" s="74"/>
    </row>
    <row r="122" spans="22:33" s="1" customFormat="1" x14ac:dyDescent="0.4">
      <c r="V122" s="74"/>
      <c r="W122" s="74"/>
      <c r="X122" s="74"/>
      <c r="Y122" s="74"/>
      <c r="Z122" s="74"/>
      <c r="AA122" s="74"/>
      <c r="AB122" s="74"/>
      <c r="AC122" s="74"/>
      <c r="AD122" s="74"/>
      <c r="AE122" s="74"/>
      <c r="AF122" s="74"/>
      <c r="AG122" s="74"/>
    </row>
    <row r="123" spans="22:33" s="1" customFormat="1" x14ac:dyDescent="0.4">
      <c r="V123" s="74"/>
      <c r="W123" s="74"/>
      <c r="X123" s="74"/>
      <c r="Y123" s="74"/>
      <c r="Z123" s="74"/>
      <c r="AA123" s="74"/>
      <c r="AB123" s="74"/>
      <c r="AC123" s="74"/>
      <c r="AD123" s="74"/>
      <c r="AE123" s="74"/>
      <c r="AF123" s="74"/>
      <c r="AG123" s="74"/>
    </row>
    <row r="124" spans="22:33" s="1" customFormat="1" x14ac:dyDescent="0.4">
      <c r="V124" s="74"/>
      <c r="W124" s="74"/>
      <c r="X124" s="74"/>
      <c r="Y124" s="74"/>
      <c r="Z124" s="74"/>
      <c r="AA124" s="74"/>
      <c r="AB124" s="74"/>
      <c r="AC124" s="74"/>
      <c r="AD124" s="74"/>
      <c r="AE124" s="74"/>
      <c r="AF124" s="74"/>
      <c r="AG124" s="74"/>
    </row>
    <row r="125" spans="22:33" s="1" customFormat="1" x14ac:dyDescent="0.4">
      <c r="V125" s="74"/>
      <c r="W125" s="74"/>
      <c r="X125" s="74"/>
      <c r="Y125" s="74"/>
      <c r="Z125" s="74"/>
      <c r="AA125" s="74"/>
      <c r="AB125" s="74"/>
      <c r="AC125" s="74"/>
      <c r="AD125" s="74"/>
      <c r="AE125" s="74"/>
      <c r="AF125" s="74"/>
      <c r="AG125" s="74"/>
    </row>
    <row r="126" spans="22:33" s="1" customFormat="1" x14ac:dyDescent="0.4">
      <c r="V126" s="74"/>
      <c r="W126" s="74"/>
      <c r="X126" s="74"/>
      <c r="Y126" s="74"/>
      <c r="Z126" s="74"/>
      <c r="AA126" s="74"/>
      <c r="AB126" s="74"/>
      <c r="AC126" s="74"/>
      <c r="AD126" s="74"/>
      <c r="AE126" s="74"/>
      <c r="AF126" s="74"/>
      <c r="AG126" s="74"/>
    </row>
    <row r="127" spans="22:33" s="1" customFormat="1" x14ac:dyDescent="0.4">
      <c r="V127" s="74"/>
      <c r="W127" s="74"/>
      <c r="X127" s="74"/>
      <c r="Y127" s="74"/>
      <c r="Z127" s="74"/>
      <c r="AA127" s="74"/>
      <c r="AB127" s="74"/>
      <c r="AC127" s="74"/>
      <c r="AD127" s="74"/>
      <c r="AE127" s="74"/>
      <c r="AF127" s="74"/>
      <c r="AG127" s="74"/>
    </row>
    <row r="128" spans="22:33" s="1" customFormat="1" x14ac:dyDescent="0.4">
      <c r="V128" s="74"/>
      <c r="W128" s="74"/>
      <c r="X128" s="74"/>
      <c r="Y128" s="74"/>
      <c r="Z128" s="74"/>
      <c r="AA128" s="74"/>
      <c r="AB128" s="74"/>
      <c r="AC128" s="74"/>
      <c r="AD128" s="74"/>
      <c r="AE128" s="74"/>
      <c r="AF128" s="74"/>
      <c r="AG128" s="74"/>
    </row>
    <row r="129" spans="22:33" s="1" customFormat="1" x14ac:dyDescent="0.4">
      <c r="V129" s="74"/>
      <c r="W129" s="74"/>
      <c r="X129" s="74"/>
      <c r="Y129" s="74"/>
      <c r="Z129" s="74"/>
      <c r="AA129" s="74"/>
      <c r="AB129" s="74"/>
      <c r="AC129" s="74"/>
      <c r="AD129" s="74"/>
      <c r="AE129" s="74"/>
      <c r="AF129" s="74"/>
      <c r="AG129" s="74"/>
    </row>
    <row r="130" spans="22:33" s="1" customFormat="1" x14ac:dyDescent="0.4">
      <c r="V130" s="74"/>
      <c r="W130" s="74"/>
      <c r="X130" s="74"/>
      <c r="Y130" s="74"/>
      <c r="Z130" s="74"/>
      <c r="AA130" s="74"/>
      <c r="AB130" s="74"/>
      <c r="AC130" s="74"/>
      <c r="AD130" s="74"/>
      <c r="AE130" s="74"/>
      <c r="AF130" s="74"/>
      <c r="AG130" s="74"/>
    </row>
    <row r="131" spans="22:33" s="1" customFormat="1" x14ac:dyDescent="0.4">
      <c r="V131" s="74"/>
      <c r="W131" s="74"/>
      <c r="X131" s="74"/>
      <c r="Y131" s="74"/>
      <c r="Z131" s="74"/>
      <c r="AA131" s="74"/>
      <c r="AB131" s="74"/>
      <c r="AC131" s="74"/>
      <c r="AD131" s="74"/>
      <c r="AE131" s="74"/>
      <c r="AF131" s="74"/>
      <c r="AG131" s="74"/>
    </row>
    <row r="132" spans="22:33" s="1" customFormat="1" x14ac:dyDescent="0.4">
      <c r="V132" s="74"/>
      <c r="W132" s="74"/>
      <c r="X132" s="74"/>
      <c r="Y132" s="74"/>
      <c r="Z132" s="74"/>
      <c r="AA132" s="74"/>
      <c r="AB132" s="74"/>
      <c r="AC132" s="74"/>
      <c r="AD132" s="74"/>
      <c r="AE132" s="74"/>
      <c r="AF132" s="74"/>
      <c r="AG132" s="74"/>
    </row>
    <row r="133" spans="22:33" s="1" customFormat="1" x14ac:dyDescent="0.4">
      <c r="V133" s="74"/>
      <c r="W133" s="74"/>
      <c r="X133" s="74"/>
      <c r="Y133" s="74"/>
      <c r="Z133" s="74"/>
      <c r="AA133" s="74"/>
      <c r="AB133" s="74"/>
      <c r="AC133" s="74"/>
      <c r="AD133" s="74"/>
      <c r="AE133" s="74"/>
      <c r="AF133" s="74"/>
      <c r="AG133" s="74"/>
    </row>
    <row r="134" spans="22:33" s="1" customFormat="1" x14ac:dyDescent="0.4">
      <c r="V134" s="74"/>
      <c r="W134" s="74"/>
      <c r="X134" s="74"/>
      <c r="Y134" s="74"/>
      <c r="Z134" s="74"/>
      <c r="AA134" s="74"/>
      <c r="AB134" s="74"/>
      <c r="AC134" s="74"/>
      <c r="AD134" s="74"/>
      <c r="AE134" s="74"/>
      <c r="AF134" s="74"/>
      <c r="AG134" s="74"/>
    </row>
    <row r="135" spans="22:33" s="1" customFormat="1" x14ac:dyDescent="0.4">
      <c r="V135" s="74"/>
      <c r="W135" s="74"/>
      <c r="X135" s="74"/>
      <c r="Y135" s="74"/>
      <c r="Z135" s="74"/>
      <c r="AA135" s="74"/>
      <c r="AB135" s="74"/>
      <c r="AC135" s="74"/>
      <c r="AD135" s="74"/>
      <c r="AE135" s="74"/>
      <c r="AF135" s="74"/>
      <c r="AG135" s="74"/>
    </row>
    <row r="136" spans="22:33" s="1" customFormat="1" x14ac:dyDescent="0.4">
      <c r="V136" s="74"/>
      <c r="W136" s="74"/>
      <c r="X136" s="74"/>
      <c r="Y136" s="74"/>
      <c r="Z136" s="74"/>
      <c r="AA136" s="74"/>
      <c r="AB136" s="74"/>
      <c r="AC136" s="74"/>
      <c r="AD136" s="74"/>
      <c r="AE136" s="74"/>
      <c r="AF136" s="74"/>
      <c r="AG136" s="74"/>
    </row>
    <row r="137" spans="22:33" s="1" customFormat="1" x14ac:dyDescent="0.4">
      <c r="V137" s="74"/>
      <c r="W137" s="74"/>
      <c r="X137" s="74"/>
      <c r="Y137" s="74"/>
      <c r="Z137" s="74"/>
      <c r="AA137" s="74"/>
      <c r="AB137" s="74"/>
      <c r="AC137" s="74"/>
      <c r="AD137" s="74"/>
      <c r="AE137" s="74"/>
      <c r="AF137" s="74"/>
      <c r="AG137" s="74"/>
    </row>
    <row r="138" spans="22:33" s="1" customFormat="1" x14ac:dyDescent="0.4">
      <c r="V138" s="74"/>
      <c r="W138" s="74"/>
      <c r="X138" s="74"/>
      <c r="Y138" s="74"/>
      <c r="Z138" s="74"/>
      <c r="AA138" s="74"/>
      <c r="AB138" s="74"/>
      <c r="AC138" s="74"/>
      <c r="AD138" s="74"/>
      <c r="AE138" s="74"/>
      <c r="AF138" s="74"/>
      <c r="AG138" s="74"/>
    </row>
    <row r="139" spans="22:33" s="1" customFormat="1" x14ac:dyDescent="0.4">
      <c r="V139" s="74"/>
      <c r="W139" s="74"/>
      <c r="X139" s="74"/>
      <c r="Y139" s="74"/>
      <c r="Z139" s="74"/>
      <c r="AA139" s="74"/>
      <c r="AB139" s="74"/>
      <c r="AC139" s="74"/>
      <c r="AD139" s="74"/>
      <c r="AE139" s="74"/>
      <c r="AF139" s="74"/>
      <c r="AG139" s="74"/>
    </row>
    <row r="140" spans="22:33" s="1" customFormat="1" x14ac:dyDescent="0.4">
      <c r="V140" s="74"/>
      <c r="W140" s="74"/>
      <c r="X140" s="74"/>
      <c r="Y140" s="74"/>
      <c r="Z140" s="74"/>
      <c r="AA140" s="74"/>
      <c r="AB140" s="74"/>
      <c r="AC140" s="74"/>
      <c r="AD140" s="74"/>
      <c r="AE140" s="74"/>
      <c r="AF140" s="74"/>
      <c r="AG140" s="74"/>
    </row>
    <row r="141" spans="22:33" s="1" customFormat="1" x14ac:dyDescent="0.4">
      <c r="V141" s="74"/>
      <c r="W141" s="74"/>
      <c r="X141" s="74"/>
      <c r="Y141" s="74"/>
      <c r="Z141" s="74"/>
      <c r="AA141" s="74"/>
      <c r="AB141" s="74"/>
      <c r="AC141" s="74"/>
      <c r="AD141" s="74"/>
      <c r="AE141" s="74"/>
      <c r="AF141" s="74"/>
      <c r="AG141" s="74"/>
    </row>
    <row r="142" spans="22:33" s="1" customFormat="1" x14ac:dyDescent="0.4">
      <c r="V142" s="74"/>
      <c r="W142" s="74"/>
      <c r="X142" s="74"/>
      <c r="Y142" s="74"/>
      <c r="Z142" s="74"/>
      <c r="AA142" s="74"/>
      <c r="AB142" s="74"/>
      <c r="AC142" s="74"/>
      <c r="AD142" s="74"/>
      <c r="AE142" s="74"/>
      <c r="AF142" s="74"/>
      <c r="AG142" s="74"/>
    </row>
    <row r="143" spans="22:33" s="1" customFormat="1" x14ac:dyDescent="0.4">
      <c r="V143" s="74"/>
      <c r="W143" s="74"/>
      <c r="X143" s="74"/>
      <c r="Y143" s="74"/>
      <c r="Z143" s="74"/>
      <c r="AA143" s="74"/>
      <c r="AB143" s="74"/>
      <c r="AC143" s="74"/>
      <c r="AD143" s="74"/>
      <c r="AE143" s="74"/>
      <c r="AF143" s="74"/>
      <c r="AG143" s="74"/>
    </row>
    <row r="144" spans="22:33" s="1" customFormat="1" x14ac:dyDescent="0.4">
      <c r="V144" s="74"/>
      <c r="W144" s="74"/>
      <c r="X144" s="74"/>
      <c r="Y144" s="74"/>
      <c r="Z144" s="74"/>
      <c r="AA144" s="74"/>
      <c r="AB144" s="74"/>
      <c r="AC144" s="74"/>
      <c r="AD144" s="74"/>
      <c r="AE144" s="74"/>
      <c r="AF144" s="74"/>
      <c r="AG144" s="74"/>
    </row>
    <row r="145" spans="22:33" s="1" customFormat="1" x14ac:dyDescent="0.4">
      <c r="V145" s="74"/>
      <c r="W145" s="74"/>
      <c r="X145" s="74"/>
      <c r="Y145" s="74"/>
      <c r="Z145" s="74"/>
      <c r="AA145" s="74"/>
      <c r="AB145" s="74"/>
      <c r="AC145" s="74"/>
      <c r="AD145" s="74"/>
      <c r="AE145" s="74"/>
      <c r="AF145" s="74"/>
      <c r="AG145" s="74"/>
    </row>
    <row r="146" spans="22:33" s="1" customFormat="1" x14ac:dyDescent="0.4">
      <c r="V146" s="74"/>
      <c r="W146" s="74"/>
      <c r="X146" s="74"/>
      <c r="Y146" s="74"/>
      <c r="Z146" s="74"/>
      <c r="AA146" s="74"/>
      <c r="AB146" s="74"/>
      <c r="AC146" s="74"/>
      <c r="AD146" s="74"/>
      <c r="AE146" s="74"/>
      <c r="AF146" s="74"/>
      <c r="AG146" s="74"/>
    </row>
    <row r="147" spans="22:33" s="1" customFormat="1" x14ac:dyDescent="0.4">
      <c r="V147" s="74"/>
      <c r="W147" s="74"/>
      <c r="X147" s="74"/>
      <c r="Y147" s="74"/>
      <c r="Z147" s="74"/>
      <c r="AA147" s="74"/>
      <c r="AB147" s="74"/>
      <c r="AC147" s="74"/>
      <c r="AD147" s="74"/>
      <c r="AE147" s="74"/>
      <c r="AF147" s="74"/>
      <c r="AG147" s="74"/>
    </row>
    <row r="148" spans="22:33" s="1" customFormat="1" x14ac:dyDescent="0.4">
      <c r="V148" s="74"/>
      <c r="W148" s="74"/>
      <c r="X148" s="74"/>
      <c r="Y148" s="74"/>
      <c r="Z148" s="74"/>
      <c r="AA148" s="74"/>
      <c r="AB148" s="74"/>
      <c r="AC148" s="74"/>
      <c r="AD148" s="74"/>
      <c r="AE148" s="74"/>
      <c r="AF148" s="74"/>
      <c r="AG148" s="74"/>
    </row>
    <row r="149" spans="22:33" s="1" customFormat="1" x14ac:dyDescent="0.4">
      <c r="V149" s="74"/>
      <c r="W149" s="74"/>
      <c r="X149" s="74"/>
      <c r="Y149" s="74"/>
      <c r="Z149" s="74"/>
      <c r="AA149" s="74"/>
      <c r="AB149" s="74"/>
      <c r="AC149" s="74"/>
      <c r="AD149" s="74"/>
      <c r="AE149" s="74"/>
      <c r="AF149" s="74"/>
      <c r="AG149" s="74"/>
    </row>
    <row r="150" spans="22:33" s="1" customFormat="1" x14ac:dyDescent="0.4">
      <c r="V150" s="74"/>
      <c r="W150" s="74"/>
      <c r="X150" s="74"/>
      <c r="Y150" s="74"/>
      <c r="Z150" s="74"/>
      <c r="AA150" s="74"/>
      <c r="AB150" s="74"/>
      <c r="AC150" s="74"/>
      <c r="AD150" s="74"/>
      <c r="AE150" s="74"/>
      <c r="AF150" s="74"/>
      <c r="AG150" s="74"/>
    </row>
    <row r="151" spans="22:33" s="1" customFormat="1" x14ac:dyDescent="0.4">
      <c r="V151" s="74"/>
      <c r="W151" s="74"/>
      <c r="X151" s="74"/>
      <c r="Y151" s="74"/>
      <c r="Z151" s="74"/>
      <c r="AA151" s="74"/>
      <c r="AB151" s="74"/>
      <c r="AC151" s="74"/>
      <c r="AD151" s="74"/>
      <c r="AE151" s="74"/>
      <c r="AF151" s="74"/>
      <c r="AG151" s="74"/>
    </row>
    <row r="152" spans="22:33" s="1" customFormat="1" x14ac:dyDescent="0.4">
      <c r="V152" s="74"/>
      <c r="W152" s="74"/>
      <c r="X152" s="74"/>
      <c r="Y152" s="74"/>
      <c r="Z152" s="74"/>
      <c r="AA152" s="74"/>
      <c r="AB152" s="74"/>
      <c r="AC152" s="74"/>
      <c r="AD152" s="74"/>
      <c r="AE152" s="74"/>
      <c r="AF152" s="74"/>
      <c r="AG152" s="74"/>
    </row>
    <row r="153" spans="22:33" s="1" customFormat="1" x14ac:dyDescent="0.4">
      <c r="V153" s="74"/>
      <c r="W153" s="74"/>
      <c r="X153" s="74"/>
      <c r="Y153" s="74"/>
      <c r="Z153" s="74"/>
      <c r="AA153" s="74"/>
      <c r="AB153" s="74"/>
      <c r="AC153" s="74"/>
      <c r="AD153" s="74"/>
      <c r="AE153" s="74"/>
      <c r="AF153" s="74"/>
      <c r="AG153" s="74"/>
    </row>
    <row r="154" spans="22:33" s="1" customFormat="1" x14ac:dyDescent="0.4">
      <c r="V154" s="74"/>
      <c r="W154" s="74"/>
      <c r="X154" s="74"/>
      <c r="Y154" s="74"/>
      <c r="Z154" s="74"/>
      <c r="AA154" s="74"/>
      <c r="AB154" s="74"/>
      <c r="AC154" s="74"/>
      <c r="AD154" s="74"/>
      <c r="AE154" s="74"/>
      <c r="AF154" s="74"/>
      <c r="AG154" s="74"/>
    </row>
    <row r="155" spans="22:33" s="1" customFormat="1" x14ac:dyDescent="0.4">
      <c r="V155" s="74"/>
      <c r="W155" s="74"/>
      <c r="X155" s="74"/>
      <c r="Y155" s="74"/>
      <c r="Z155" s="74"/>
      <c r="AA155" s="74"/>
      <c r="AB155" s="74"/>
      <c r="AC155" s="74"/>
      <c r="AD155" s="74"/>
      <c r="AE155" s="74"/>
      <c r="AF155" s="74"/>
      <c r="AG155" s="74"/>
    </row>
    <row r="156" spans="22:33" s="1" customFormat="1" x14ac:dyDescent="0.4">
      <c r="V156" s="74"/>
      <c r="W156" s="74"/>
      <c r="X156" s="74"/>
      <c r="Y156" s="74"/>
      <c r="Z156" s="74"/>
      <c r="AA156" s="74"/>
      <c r="AB156" s="74"/>
      <c r="AC156" s="74"/>
      <c r="AD156" s="74"/>
      <c r="AE156" s="74"/>
      <c r="AF156" s="74"/>
      <c r="AG156" s="74"/>
    </row>
    <row r="157" spans="22:33" s="1" customFormat="1" x14ac:dyDescent="0.4">
      <c r="V157" s="74"/>
      <c r="W157" s="74"/>
      <c r="X157" s="74"/>
      <c r="Y157" s="74"/>
      <c r="Z157" s="74"/>
      <c r="AA157" s="74"/>
      <c r="AB157" s="74"/>
      <c r="AC157" s="74"/>
      <c r="AD157" s="74"/>
      <c r="AE157" s="74"/>
      <c r="AF157" s="74"/>
      <c r="AG157" s="74"/>
    </row>
    <row r="158" spans="22:33" s="1" customFormat="1" x14ac:dyDescent="0.4">
      <c r="V158" s="74"/>
      <c r="W158" s="74"/>
      <c r="X158" s="74"/>
      <c r="Y158" s="74"/>
      <c r="Z158" s="74"/>
      <c r="AA158" s="74"/>
      <c r="AB158" s="74"/>
      <c r="AC158" s="74"/>
      <c r="AD158" s="74"/>
      <c r="AE158" s="74"/>
      <c r="AF158" s="74"/>
      <c r="AG158" s="74"/>
    </row>
    <row r="159" spans="22:33" s="1" customFormat="1" x14ac:dyDescent="0.4">
      <c r="V159" s="74"/>
      <c r="W159" s="74"/>
      <c r="X159" s="74"/>
      <c r="Y159" s="74"/>
      <c r="Z159" s="74"/>
      <c r="AA159" s="74"/>
      <c r="AB159" s="74"/>
      <c r="AC159" s="74"/>
      <c r="AD159" s="74"/>
      <c r="AE159" s="74"/>
      <c r="AF159" s="74"/>
      <c r="AG159" s="74"/>
    </row>
    <row r="160" spans="22:33" s="1" customFormat="1" x14ac:dyDescent="0.4">
      <c r="V160" s="74"/>
      <c r="W160" s="74"/>
      <c r="X160" s="74"/>
      <c r="Y160" s="74"/>
      <c r="Z160" s="74"/>
      <c r="AA160" s="74"/>
      <c r="AB160" s="74"/>
      <c r="AC160" s="74"/>
      <c r="AD160" s="74"/>
      <c r="AE160" s="74"/>
      <c r="AF160" s="74"/>
      <c r="AG160" s="74"/>
    </row>
    <row r="161" spans="22:33" s="1" customFormat="1" x14ac:dyDescent="0.4">
      <c r="V161" s="74"/>
      <c r="W161" s="74"/>
      <c r="X161" s="74"/>
      <c r="Y161" s="74"/>
      <c r="Z161" s="74"/>
      <c r="AA161" s="74"/>
      <c r="AB161" s="74"/>
      <c r="AC161" s="74"/>
      <c r="AD161" s="74"/>
      <c r="AE161" s="74"/>
      <c r="AF161" s="74"/>
      <c r="AG161" s="74"/>
    </row>
    <row r="162" spans="22:33" s="1" customFormat="1" x14ac:dyDescent="0.4">
      <c r="V162" s="74"/>
      <c r="W162" s="74"/>
      <c r="X162" s="74"/>
      <c r="Y162" s="74"/>
      <c r="Z162" s="74"/>
      <c r="AA162" s="74"/>
      <c r="AB162" s="74"/>
      <c r="AC162" s="74"/>
      <c r="AD162" s="74"/>
      <c r="AE162" s="74"/>
      <c r="AF162" s="74"/>
      <c r="AG162" s="74"/>
    </row>
    <row r="163" spans="22:33" s="1" customFormat="1" x14ac:dyDescent="0.4">
      <c r="V163" s="74"/>
      <c r="W163" s="74"/>
      <c r="X163" s="74"/>
      <c r="Y163" s="74"/>
      <c r="Z163" s="74"/>
      <c r="AA163" s="74"/>
      <c r="AB163" s="74"/>
      <c r="AC163" s="74"/>
      <c r="AD163" s="74"/>
      <c r="AE163" s="74"/>
      <c r="AF163" s="74"/>
      <c r="AG163" s="74"/>
    </row>
    <row r="164" spans="22:33" s="1" customFormat="1" x14ac:dyDescent="0.4">
      <c r="V164" s="74"/>
      <c r="W164" s="74"/>
      <c r="X164" s="74"/>
      <c r="Y164" s="74"/>
      <c r="Z164" s="74"/>
      <c r="AA164" s="74"/>
      <c r="AB164" s="74"/>
      <c r="AC164" s="74"/>
      <c r="AD164" s="74"/>
      <c r="AE164" s="74"/>
      <c r="AF164" s="74"/>
      <c r="AG164" s="74"/>
    </row>
    <row r="165" spans="22:33" s="1" customFormat="1" x14ac:dyDescent="0.4">
      <c r="V165" s="74"/>
      <c r="W165" s="74"/>
      <c r="X165" s="74"/>
      <c r="Y165" s="74"/>
      <c r="Z165" s="74"/>
      <c r="AA165" s="74"/>
      <c r="AB165" s="74"/>
      <c r="AC165" s="74"/>
      <c r="AD165" s="74"/>
      <c r="AE165" s="74"/>
      <c r="AF165" s="74"/>
      <c r="AG165" s="74"/>
    </row>
    <row r="166" spans="22:33" s="1" customFormat="1" x14ac:dyDescent="0.4">
      <c r="V166" s="74"/>
      <c r="W166" s="74"/>
      <c r="X166" s="74"/>
      <c r="Y166" s="74"/>
      <c r="Z166" s="74"/>
      <c r="AA166" s="74"/>
      <c r="AB166" s="74"/>
      <c r="AC166" s="74"/>
      <c r="AD166" s="74"/>
      <c r="AE166" s="74"/>
      <c r="AF166" s="74"/>
      <c r="AG166" s="74"/>
    </row>
    <row r="167" spans="22:33" s="1" customFormat="1" x14ac:dyDescent="0.4">
      <c r="V167" s="74"/>
      <c r="W167" s="74"/>
      <c r="X167" s="74"/>
      <c r="Y167" s="74"/>
      <c r="Z167" s="74"/>
      <c r="AA167" s="74"/>
      <c r="AB167" s="74"/>
      <c r="AC167" s="74"/>
      <c r="AD167" s="74"/>
      <c r="AE167" s="74"/>
      <c r="AF167" s="74"/>
      <c r="AG167" s="74"/>
    </row>
    <row r="168" spans="22:33" s="1" customFormat="1" x14ac:dyDescent="0.4">
      <c r="V168" s="74"/>
      <c r="W168" s="74"/>
      <c r="X168" s="74"/>
      <c r="Y168" s="74"/>
      <c r="Z168" s="74"/>
      <c r="AA168" s="74"/>
      <c r="AB168" s="74"/>
      <c r="AC168" s="74"/>
      <c r="AD168" s="74"/>
      <c r="AE168" s="74"/>
      <c r="AF168" s="74"/>
      <c r="AG168" s="74"/>
    </row>
    <row r="169" spans="22:33" s="1" customFormat="1" x14ac:dyDescent="0.4">
      <c r="V169" s="74"/>
      <c r="W169" s="74"/>
      <c r="X169" s="74"/>
      <c r="Y169" s="74"/>
      <c r="Z169" s="74"/>
      <c r="AA169" s="74"/>
      <c r="AB169" s="74"/>
      <c r="AC169" s="74"/>
      <c r="AD169" s="74"/>
      <c r="AE169" s="74"/>
      <c r="AF169" s="74"/>
      <c r="AG169" s="74"/>
    </row>
    <row r="170" spans="22:33" s="1" customFormat="1" x14ac:dyDescent="0.4">
      <c r="V170" s="74"/>
      <c r="W170" s="74"/>
      <c r="X170" s="74"/>
      <c r="Y170" s="74"/>
      <c r="Z170" s="74"/>
      <c r="AA170" s="74"/>
      <c r="AB170" s="74"/>
      <c r="AC170" s="74"/>
      <c r="AD170" s="74"/>
      <c r="AE170" s="74"/>
      <c r="AF170" s="74"/>
      <c r="AG170" s="74"/>
    </row>
    <row r="171" spans="22:33" s="1" customFormat="1" x14ac:dyDescent="0.4">
      <c r="V171" s="74"/>
      <c r="W171" s="74"/>
      <c r="X171" s="74"/>
      <c r="Y171" s="74"/>
      <c r="Z171" s="74"/>
      <c r="AA171" s="74"/>
      <c r="AB171" s="74"/>
      <c r="AC171" s="74"/>
      <c r="AD171" s="74"/>
      <c r="AE171" s="74"/>
      <c r="AF171" s="74"/>
      <c r="AG171" s="74"/>
    </row>
    <row r="172" spans="22:33" s="1" customFormat="1" x14ac:dyDescent="0.4">
      <c r="V172" s="74"/>
      <c r="W172" s="74"/>
      <c r="X172" s="74"/>
      <c r="Y172" s="74"/>
      <c r="Z172" s="74"/>
      <c r="AA172" s="74"/>
      <c r="AB172" s="74"/>
      <c r="AC172" s="74"/>
      <c r="AD172" s="74"/>
      <c r="AE172" s="74"/>
      <c r="AF172" s="74"/>
      <c r="AG172" s="74"/>
    </row>
    <row r="173" spans="22:33" s="1" customFormat="1" x14ac:dyDescent="0.4">
      <c r="V173" s="74"/>
      <c r="W173" s="74"/>
      <c r="X173" s="74"/>
      <c r="Y173" s="74"/>
      <c r="Z173" s="74"/>
      <c r="AA173" s="74"/>
      <c r="AB173" s="74"/>
      <c r="AC173" s="74"/>
      <c r="AD173" s="74"/>
      <c r="AE173" s="74"/>
      <c r="AF173" s="74"/>
      <c r="AG173" s="74"/>
    </row>
    <row r="174" spans="22:33" s="1" customFormat="1" x14ac:dyDescent="0.4">
      <c r="V174" s="74"/>
      <c r="W174" s="74"/>
      <c r="X174" s="74"/>
      <c r="Y174" s="74"/>
      <c r="Z174" s="74"/>
      <c r="AA174" s="74"/>
      <c r="AB174" s="74"/>
      <c r="AC174" s="74"/>
      <c r="AD174" s="74"/>
      <c r="AE174" s="74"/>
      <c r="AF174" s="74"/>
      <c r="AG174" s="74"/>
    </row>
    <row r="175" spans="22:33" s="1" customFormat="1" x14ac:dyDescent="0.4">
      <c r="V175" s="74"/>
      <c r="W175" s="74"/>
      <c r="X175" s="74"/>
      <c r="Y175" s="74"/>
      <c r="Z175" s="74"/>
      <c r="AA175" s="74"/>
      <c r="AB175" s="74"/>
      <c r="AC175" s="74"/>
      <c r="AD175" s="74"/>
      <c r="AE175" s="74"/>
      <c r="AF175" s="74"/>
      <c r="AG175" s="74"/>
    </row>
    <row r="176" spans="22:33" s="1" customFormat="1" x14ac:dyDescent="0.4">
      <c r="V176" s="74"/>
      <c r="W176" s="74"/>
      <c r="X176" s="74"/>
      <c r="Y176" s="74"/>
      <c r="Z176" s="74"/>
      <c r="AA176" s="74"/>
      <c r="AB176" s="74"/>
      <c r="AC176" s="74"/>
      <c r="AD176" s="74"/>
      <c r="AE176" s="74"/>
      <c r="AF176" s="74"/>
      <c r="AG176" s="74"/>
    </row>
    <row r="177" spans="22:33" s="1" customFormat="1" x14ac:dyDescent="0.4">
      <c r="V177" s="74"/>
      <c r="W177" s="74"/>
      <c r="X177" s="74"/>
      <c r="Y177" s="74"/>
      <c r="Z177" s="74"/>
      <c r="AA177" s="74"/>
      <c r="AB177" s="74"/>
      <c r="AC177" s="74"/>
      <c r="AD177" s="74"/>
      <c r="AE177" s="74"/>
      <c r="AF177" s="74"/>
      <c r="AG177" s="74"/>
    </row>
    <row r="178" spans="22:33" s="1" customFormat="1" x14ac:dyDescent="0.4">
      <c r="V178" s="74"/>
      <c r="W178" s="74"/>
      <c r="X178" s="74"/>
      <c r="Y178" s="74"/>
      <c r="Z178" s="74"/>
      <c r="AA178" s="74"/>
      <c r="AB178" s="74"/>
      <c r="AC178" s="74"/>
      <c r="AD178" s="74"/>
      <c r="AE178" s="74"/>
      <c r="AF178" s="74"/>
      <c r="AG178" s="74"/>
    </row>
    <row r="179" spans="22:33" s="1" customFormat="1" x14ac:dyDescent="0.4">
      <c r="V179" s="74"/>
      <c r="W179" s="74"/>
      <c r="X179" s="74"/>
      <c r="Y179" s="74"/>
      <c r="Z179" s="74"/>
      <c r="AA179" s="74"/>
      <c r="AB179" s="74"/>
      <c r="AC179" s="74"/>
      <c r="AD179" s="74"/>
      <c r="AE179" s="74"/>
      <c r="AF179" s="74"/>
      <c r="AG179" s="74"/>
    </row>
    <row r="180" spans="22:33" s="1" customFormat="1" x14ac:dyDescent="0.4">
      <c r="V180" s="74"/>
      <c r="W180" s="74"/>
      <c r="X180" s="74"/>
      <c r="Y180" s="74"/>
      <c r="Z180" s="74"/>
      <c r="AA180" s="74"/>
      <c r="AB180" s="74"/>
      <c r="AC180" s="74"/>
      <c r="AD180" s="74"/>
      <c r="AE180" s="74"/>
      <c r="AF180" s="74"/>
      <c r="AG180" s="74"/>
    </row>
    <row r="181" spans="22:33" s="1" customFormat="1" x14ac:dyDescent="0.4">
      <c r="V181" s="74"/>
      <c r="W181" s="74"/>
      <c r="X181" s="74"/>
      <c r="Y181" s="74"/>
      <c r="Z181" s="74"/>
      <c r="AA181" s="74"/>
      <c r="AB181" s="74"/>
      <c r="AC181" s="74"/>
      <c r="AD181" s="74"/>
      <c r="AE181" s="74"/>
      <c r="AF181" s="74"/>
      <c r="AG181" s="74"/>
    </row>
    <row r="182" spans="22:33" s="1" customFormat="1" x14ac:dyDescent="0.4">
      <c r="V182" s="74"/>
      <c r="W182" s="74"/>
      <c r="X182" s="74"/>
      <c r="Y182" s="74"/>
      <c r="Z182" s="74"/>
      <c r="AA182" s="74"/>
      <c r="AB182" s="74"/>
      <c r="AC182" s="74"/>
      <c r="AD182" s="74"/>
      <c r="AE182" s="74"/>
      <c r="AF182" s="74"/>
      <c r="AG182" s="74"/>
    </row>
    <row r="183" spans="22:33" s="1" customFormat="1" x14ac:dyDescent="0.4">
      <c r="V183" s="74"/>
      <c r="W183" s="74"/>
      <c r="X183" s="74"/>
      <c r="Y183" s="74"/>
      <c r="Z183" s="74"/>
      <c r="AA183" s="74"/>
      <c r="AB183" s="74"/>
      <c r="AC183" s="74"/>
      <c r="AD183" s="74"/>
      <c r="AE183" s="74"/>
      <c r="AF183" s="74"/>
      <c r="AG183" s="74"/>
    </row>
    <row r="184" spans="22:33" s="1" customFormat="1" x14ac:dyDescent="0.4">
      <c r="V184" s="74"/>
      <c r="W184" s="74"/>
      <c r="X184" s="74"/>
      <c r="Y184" s="74"/>
      <c r="Z184" s="74"/>
      <c r="AA184" s="74"/>
      <c r="AB184" s="74"/>
      <c r="AC184" s="74"/>
      <c r="AD184" s="74"/>
      <c r="AE184" s="74"/>
      <c r="AF184" s="74"/>
      <c r="AG184" s="74"/>
    </row>
    <row r="185" spans="22:33" s="1" customFormat="1" x14ac:dyDescent="0.4">
      <c r="V185" s="74"/>
      <c r="W185" s="74"/>
      <c r="X185" s="74"/>
      <c r="Y185" s="74"/>
      <c r="Z185" s="74"/>
      <c r="AA185" s="74"/>
      <c r="AB185" s="74"/>
      <c r="AC185" s="74"/>
      <c r="AD185" s="74"/>
      <c r="AE185" s="74"/>
      <c r="AF185" s="74"/>
      <c r="AG185" s="74"/>
    </row>
    <row r="186" spans="22:33" s="1" customFormat="1" x14ac:dyDescent="0.4">
      <c r="V186" s="74"/>
      <c r="W186" s="74"/>
      <c r="X186" s="74"/>
      <c r="Y186" s="74"/>
      <c r="Z186" s="74"/>
      <c r="AA186" s="74"/>
      <c r="AB186" s="74"/>
      <c r="AC186" s="74"/>
      <c r="AD186" s="74"/>
      <c r="AE186" s="74"/>
      <c r="AF186" s="74"/>
      <c r="AG186" s="74"/>
    </row>
    <row r="187" spans="22:33" s="1" customFormat="1" x14ac:dyDescent="0.4">
      <c r="V187" s="74"/>
      <c r="W187" s="74"/>
      <c r="X187" s="74"/>
      <c r="Y187" s="74"/>
      <c r="Z187" s="74"/>
      <c r="AA187" s="74"/>
      <c r="AB187" s="74"/>
      <c r="AC187" s="74"/>
      <c r="AD187" s="74"/>
      <c r="AE187" s="74"/>
      <c r="AF187" s="74"/>
      <c r="AG187" s="74"/>
    </row>
    <row r="188" spans="22:33" s="1" customFormat="1" x14ac:dyDescent="0.4">
      <c r="V188" s="74"/>
      <c r="W188" s="74"/>
      <c r="X188" s="74"/>
      <c r="Y188" s="74"/>
      <c r="Z188" s="74"/>
      <c r="AA188" s="74"/>
      <c r="AB188" s="74"/>
      <c r="AC188" s="74"/>
      <c r="AD188" s="74"/>
      <c r="AE188" s="74"/>
      <c r="AF188" s="74"/>
      <c r="AG188" s="74"/>
    </row>
    <row r="189" spans="22:33" s="1" customFormat="1" x14ac:dyDescent="0.4">
      <c r="V189" s="74"/>
      <c r="W189" s="74"/>
      <c r="X189" s="74"/>
      <c r="Y189" s="74"/>
      <c r="Z189" s="74"/>
      <c r="AA189" s="74"/>
      <c r="AB189" s="74"/>
      <c r="AC189" s="74"/>
      <c r="AD189" s="74"/>
      <c r="AE189" s="74"/>
      <c r="AF189" s="74"/>
      <c r="AG189" s="74"/>
    </row>
    <row r="190" spans="22:33" s="1" customFormat="1" x14ac:dyDescent="0.4">
      <c r="V190" s="74"/>
      <c r="W190" s="74"/>
      <c r="X190" s="74"/>
      <c r="Y190" s="74"/>
      <c r="Z190" s="74"/>
      <c r="AA190" s="74"/>
      <c r="AB190" s="74"/>
      <c r="AC190" s="74"/>
      <c r="AD190" s="74"/>
      <c r="AE190" s="74"/>
      <c r="AF190" s="74"/>
      <c r="AG190" s="74"/>
    </row>
    <row r="191" spans="22:33" s="1" customFormat="1" x14ac:dyDescent="0.4">
      <c r="V191" s="74"/>
      <c r="W191" s="74"/>
      <c r="X191" s="74"/>
      <c r="Y191" s="74"/>
      <c r="Z191" s="74"/>
      <c r="AA191" s="74"/>
      <c r="AB191" s="74"/>
      <c r="AC191" s="74"/>
      <c r="AD191" s="74"/>
      <c r="AE191" s="74"/>
      <c r="AF191" s="74"/>
      <c r="AG191" s="74"/>
    </row>
    <row r="192" spans="22:33" s="1" customFormat="1" x14ac:dyDescent="0.4">
      <c r="V192" s="74"/>
      <c r="W192" s="74"/>
      <c r="X192" s="74"/>
      <c r="Y192" s="74"/>
      <c r="Z192" s="74"/>
      <c r="AA192" s="74"/>
      <c r="AB192" s="74"/>
      <c r="AC192" s="74"/>
      <c r="AD192" s="74"/>
      <c r="AE192" s="74"/>
      <c r="AF192" s="74"/>
      <c r="AG192" s="74"/>
    </row>
    <row r="193" spans="22:33" s="1" customFormat="1" x14ac:dyDescent="0.4">
      <c r="V193" s="74"/>
      <c r="W193" s="74"/>
      <c r="X193" s="74"/>
      <c r="Y193" s="74"/>
      <c r="Z193" s="74"/>
      <c r="AA193" s="74"/>
      <c r="AB193" s="74"/>
      <c r="AC193" s="74"/>
      <c r="AD193" s="74"/>
      <c r="AE193" s="74"/>
      <c r="AF193" s="74"/>
      <c r="AG193" s="74"/>
    </row>
    <row r="194" spans="22:33" s="1" customFormat="1" x14ac:dyDescent="0.4">
      <c r="V194" s="74"/>
      <c r="W194" s="74"/>
      <c r="X194" s="74"/>
      <c r="Y194" s="74"/>
      <c r="Z194" s="74"/>
      <c r="AA194" s="74"/>
      <c r="AB194" s="74"/>
      <c r="AC194" s="74"/>
      <c r="AD194" s="74"/>
      <c r="AE194" s="74"/>
      <c r="AF194" s="74"/>
      <c r="AG194" s="74"/>
    </row>
    <row r="195" spans="22:33" s="1" customFormat="1" x14ac:dyDescent="0.4">
      <c r="V195" s="74"/>
      <c r="W195" s="74"/>
      <c r="X195" s="74"/>
      <c r="Y195" s="74"/>
      <c r="Z195" s="74"/>
      <c r="AA195" s="74"/>
      <c r="AB195" s="74"/>
      <c r="AC195" s="74"/>
      <c r="AD195" s="74"/>
      <c r="AE195" s="74"/>
      <c r="AF195" s="74"/>
      <c r="AG195" s="74"/>
    </row>
    <row r="196" spans="22:33" s="1" customFormat="1" x14ac:dyDescent="0.4">
      <c r="V196" s="74"/>
      <c r="W196" s="74"/>
      <c r="X196" s="74"/>
      <c r="Y196" s="74"/>
      <c r="Z196" s="74"/>
      <c r="AA196" s="74"/>
      <c r="AB196" s="74"/>
      <c r="AC196" s="74"/>
      <c r="AD196" s="74"/>
      <c r="AE196" s="74"/>
      <c r="AF196" s="74"/>
      <c r="AG196" s="74"/>
    </row>
    <row r="197" spans="22:33" s="1" customFormat="1" x14ac:dyDescent="0.4">
      <c r="V197" s="74"/>
      <c r="W197" s="74"/>
      <c r="X197" s="74"/>
      <c r="Y197" s="74"/>
      <c r="Z197" s="74"/>
      <c r="AA197" s="74"/>
      <c r="AB197" s="74"/>
      <c r="AC197" s="74"/>
      <c r="AD197" s="74"/>
      <c r="AE197" s="74"/>
      <c r="AF197" s="74"/>
      <c r="AG197" s="74"/>
    </row>
    <row r="198" spans="22:33" s="1" customFormat="1" x14ac:dyDescent="0.4">
      <c r="V198" s="74"/>
      <c r="W198" s="74"/>
      <c r="X198" s="74"/>
      <c r="Y198" s="74"/>
      <c r="Z198" s="74"/>
      <c r="AA198" s="74"/>
      <c r="AB198" s="74"/>
      <c r="AC198" s="74"/>
      <c r="AD198" s="74"/>
      <c r="AE198" s="74"/>
      <c r="AF198" s="74"/>
      <c r="AG198" s="74"/>
    </row>
    <row r="199" spans="22:33" s="1" customFormat="1" x14ac:dyDescent="0.4">
      <c r="V199" s="74"/>
      <c r="W199" s="74"/>
      <c r="X199" s="74"/>
      <c r="Y199" s="74"/>
      <c r="Z199" s="74"/>
      <c r="AA199" s="74"/>
      <c r="AB199" s="74"/>
      <c r="AC199" s="74"/>
      <c r="AD199" s="74"/>
      <c r="AE199" s="74"/>
      <c r="AF199" s="74"/>
      <c r="AG199" s="74"/>
    </row>
    <row r="200" spans="22:33" s="1" customFormat="1" x14ac:dyDescent="0.4">
      <c r="V200" s="74"/>
      <c r="W200" s="74"/>
      <c r="X200" s="74"/>
      <c r="Y200" s="74"/>
      <c r="Z200" s="74"/>
      <c r="AA200" s="74"/>
      <c r="AB200" s="74"/>
      <c r="AC200" s="74"/>
      <c r="AD200" s="74"/>
      <c r="AE200" s="74"/>
      <c r="AF200" s="74"/>
      <c r="AG200" s="74"/>
    </row>
    <row r="201" spans="22:33" s="1" customFormat="1" x14ac:dyDescent="0.4">
      <c r="V201" s="74"/>
      <c r="W201" s="74"/>
      <c r="X201" s="74"/>
      <c r="Y201" s="74"/>
      <c r="Z201" s="74"/>
      <c r="AA201" s="74"/>
      <c r="AB201" s="74"/>
      <c r="AC201" s="74"/>
      <c r="AD201" s="74"/>
      <c r="AE201" s="74"/>
      <c r="AF201" s="74"/>
      <c r="AG201" s="74"/>
    </row>
    <row r="202" spans="22:33" s="1" customFormat="1" x14ac:dyDescent="0.4">
      <c r="V202" s="74"/>
      <c r="W202" s="74"/>
      <c r="X202" s="74"/>
      <c r="Y202" s="74"/>
      <c r="Z202" s="74"/>
      <c r="AA202" s="74"/>
      <c r="AB202" s="74"/>
      <c r="AC202" s="74"/>
      <c r="AD202" s="74"/>
      <c r="AE202" s="74"/>
      <c r="AF202" s="74"/>
      <c r="AG202" s="74"/>
    </row>
    <row r="203" spans="22:33" s="1" customFormat="1" x14ac:dyDescent="0.4">
      <c r="V203" s="74"/>
      <c r="W203" s="74"/>
      <c r="X203" s="74"/>
      <c r="Y203" s="74"/>
      <c r="Z203" s="74"/>
      <c r="AA203" s="74"/>
      <c r="AB203" s="74"/>
      <c r="AC203" s="74"/>
      <c r="AD203" s="74"/>
      <c r="AE203" s="74"/>
      <c r="AF203" s="74"/>
      <c r="AG203" s="74"/>
    </row>
    <row r="204" spans="22:33" s="1" customFormat="1" x14ac:dyDescent="0.4">
      <c r="V204" s="74"/>
      <c r="W204" s="74"/>
      <c r="X204" s="74"/>
      <c r="Y204" s="74"/>
      <c r="Z204" s="74"/>
      <c r="AA204" s="74"/>
      <c r="AB204" s="74"/>
      <c r="AC204" s="74"/>
      <c r="AD204" s="74"/>
      <c r="AE204" s="74"/>
      <c r="AF204" s="74"/>
      <c r="AG204" s="74"/>
    </row>
    <row r="205" spans="22:33" s="1" customFormat="1" x14ac:dyDescent="0.4">
      <c r="V205" s="74"/>
      <c r="W205" s="74"/>
      <c r="X205" s="74"/>
      <c r="Y205" s="74"/>
      <c r="Z205" s="74"/>
      <c r="AA205" s="74"/>
      <c r="AB205" s="74"/>
      <c r="AC205" s="74"/>
      <c r="AD205" s="74"/>
      <c r="AE205" s="74"/>
      <c r="AF205" s="74"/>
      <c r="AG205" s="74"/>
    </row>
    <row r="206" spans="22:33" s="1" customFormat="1" x14ac:dyDescent="0.4">
      <c r="V206" s="74"/>
      <c r="W206" s="74"/>
      <c r="X206" s="74"/>
      <c r="Y206" s="74"/>
      <c r="Z206" s="74"/>
      <c r="AA206" s="74"/>
      <c r="AB206" s="74"/>
      <c r="AC206" s="74"/>
      <c r="AD206" s="74"/>
      <c r="AE206" s="74"/>
      <c r="AF206" s="74"/>
      <c r="AG206" s="74"/>
    </row>
    <row r="207" spans="22:33" s="1" customFormat="1" x14ac:dyDescent="0.4">
      <c r="V207" s="74"/>
      <c r="W207" s="74"/>
      <c r="X207" s="74"/>
      <c r="Y207" s="74"/>
      <c r="Z207" s="74"/>
      <c r="AA207" s="74"/>
      <c r="AB207" s="74"/>
      <c r="AC207" s="74"/>
      <c r="AD207" s="74"/>
      <c r="AE207" s="74"/>
      <c r="AF207" s="74"/>
      <c r="AG207" s="74"/>
    </row>
    <row r="208" spans="22:33" s="1" customFormat="1" x14ac:dyDescent="0.4">
      <c r="V208" s="74"/>
      <c r="W208" s="74"/>
      <c r="X208" s="74"/>
      <c r="Y208" s="74"/>
      <c r="Z208" s="74"/>
      <c r="AA208" s="74"/>
      <c r="AB208" s="74"/>
      <c r="AC208" s="74"/>
      <c r="AD208" s="74"/>
      <c r="AE208" s="74"/>
      <c r="AF208" s="74"/>
      <c r="AG208" s="74"/>
    </row>
    <row r="209" spans="22:33" s="1" customFormat="1" x14ac:dyDescent="0.4">
      <c r="V209" s="74"/>
      <c r="W209" s="74"/>
      <c r="X209" s="74"/>
      <c r="Y209" s="74"/>
      <c r="Z209" s="74"/>
      <c r="AA209" s="74"/>
      <c r="AB209" s="74"/>
      <c r="AC209" s="74"/>
      <c r="AD209" s="74"/>
      <c r="AE209" s="74"/>
      <c r="AF209" s="74"/>
      <c r="AG209" s="74"/>
    </row>
    <row r="210" spans="22:33" s="1" customFormat="1" x14ac:dyDescent="0.4">
      <c r="V210" s="74"/>
      <c r="W210" s="74"/>
      <c r="X210" s="74"/>
      <c r="Y210" s="74"/>
      <c r="Z210" s="74"/>
      <c r="AA210" s="74"/>
      <c r="AB210" s="74"/>
      <c r="AC210" s="74"/>
      <c r="AD210" s="74"/>
      <c r="AE210" s="74"/>
      <c r="AF210" s="74"/>
      <c r="AG210" s="74"/>
    </row>
    <row r="211" spans="22:33" s="1" customFormat="1" x14ac:dyDescent="0.4">
      <c r="V211" s="74"/>
      <c r="W211" s="74"/>
      <c r="X211" s="74"/>
      <c r="Y211" s="74"/>
      <c r="Z211" s="74"/>
      <c r="AA211" s="74"/>
      <c r="AB211" s="74"/>
      <c r="AC211" s="74"/>
      <c r="AD211" s="74"/>
      <c r="AE211" s="74"/>
      <c r="AF211" s="74"/>
      <c r="AG211" s="74"/>
    </row>
    <row r="212" spans="22:33" s="1" customFormat="1" x14ac:dyDescent="0.4">
      <c r="V212" s="74"/>
      <c r="W212" s="74"/>
      <c r="X212" s="74"/>
      <c r="Y212" s="74"/>
      <c r="Z212" s="74"/>
      <c r="AA212" s="74"/>
      <c r="AB212" s="74"/>
      <c r="AC212" s="74"/>
      <c r="AD212" s="74"/>
      <c r="AE212" s="74"/>
      <c r="AF212" s="74"/>
      <c r="AG212" s="74"/>
    </row>
    <row r="213" spans="22:33" s="1" customFormat="1" x14ac:dyDescent="0.4">
      <c r="V213" s="74"/>
      <c r="W213" s="74"/>
      <c r="X213" s="74"/>
      <c r="Y213" s="74"/>
      <c r="Z213" s="74"/>
      <c r="AA213" s="74"/>
      <c r="AB213" s="74"/>
      <c r="AC213" s="74"/>
      <c r="AD213" s="74"/>
      <c r="AE213" s="74"/>
      <c r="AF213" s="74"/>
      <c r="AG213" s="74"/>
    </row>
    <row r="214" spans="22:33" s="1" customFormat="1" x14ac:dyDescent="0.4">
      <c r="V214" s="74"/>
      <c r="W214" s="74"/>
      <c r="X214" s="74"/>
      <c r="Y214" s="74"/>
      <c r="Z214" s="74"/>
      <c r="AA214" s="74"/>
      <c r="AB214" s="74"/>
      <c r="AC214" s="74"/>
      <c r="AD214" s="74"/>
      <c r="AE214" s="74"/>
      <c r="AF214" s="74"/>
      <c r="AG214" s="74"/>
    </row>
    <row r="215" spans="22:33" s="1" customFormat="1" x14ac:dyDescent="0.4">
      <c r="V215" s="74"/>
      <c r="W215" s="74"/>
      <c r="X215" s="74"/>
      <c r="Y215" s="74"/>
      <c r="Z215" s="74"/>
      <c r="AA215" s="74"/>
      <c r="AB215" s="74"/>
      <c r="AC215" s="74"/>
      <c r="AD215" s="74"/>
      <c r="AE215" s="74"/>
      <c r="AF215" s="74"/>
      <c r="AG215" s="74"/>
    </row>
    <row r="216" spans="22:33" s="1" customFormat="1" x14ac:dyDescent="0.4">
      <c r="V216" s="74"/>
      <c r="W216" s="74"/>
      <c r="X216" s="74"/>
      <c r="Y216" s="74"/>
      <c r="Z216" s="74"/>
      <c r="AA216" s="74"/>
      <c r="AB216" s="74"/>
      <c r="AC216" s="74"/>
      <c r="AD216" s="74"/>
      <c r="AE216" s="74"/>
      <c r="AF216" s="74"/>
      <c r="AG216" s="74"/>
    </row>
    <row r="217" spans="22:33" s="1" customFormat="1" x14ac:dyDescent="0.4">
      <c r="V217" s="74"/>
      <c r="W217" s="74"/>
      <c r="X217" s="74"/>
      <c r="Y217" s="74"/>
      <c r="Z217" s="74"/>
      <c r="AA217" s="74"/>
      <c r="AB217" s="74"/>
      <c r="AC217" s="74"/>
      <c r="AD217" s="74"/>
      <c r="AE217" s="74"/>
      <c r="AF217" s="74"/>
      <c r="AG217" s="74"/>
    </row>
    <row r="218" spans="22:33" s="1" customFormat="1" x14ac:dyDescent="0.4">
      <c r="V218" s="74"/>
      <c r="W218" s="74"/>
      <c r="X218" s="74"/>
      <c r="Y218" s="74"/>
      <c r="Z218" s="74"/>
      <c r="AA218" s="74"/>
      <c r="AB218" s="74"/>
      <c r="AC218" s="74"/>
      <c r="AD218" s="74"/>
      <c r="AE218" s="74"/>
      <c r="AF218" s="74"/>
      <c r="AG218" s="74"/>
    </row>
    <row r="219" spans="22:33" s="1" customFormat="1" x14ac:dyDescent="0.4">
      <c r="V219" s="74"/>
      <c r="W219" s="74"/>
      <c r="X219" s="74"/>
      <c r="Y219" s="74"/>
      <c r="Z219" s="74"/>
      <c r="AA219" s="74"/>
      <c r="AB219" s="74"/>
      <c r="AC219" s="74"/>
      <c r="AD219" s="74"/>
      <c r="AE219" s="74"/>
      <c r="AF219" s="74"/>
      <c r="AG219" s="74"/>
    </row>
    <row r="220" spans="22:33" s="1" customFormat="1" x14ac:dyDescent="0.4">
      <c r="V220" s="74"/>
      <c r="W220" s="74"/>
      <c r="X220" s="74"/>
      <c r="Y220" s="74"/>
      <c r="Z220" s="74"/>
      <c r="AA220" s="74"/>
      <c r="AB220" s="74"/>
      <c r="AC220" s="74"/>
      <c r="AD220" s="74"/>
      <c r="AE220" s="74"/>
      <c r="AF220" s="74"/>
      <c r="AG220" s="74"/>
    </row>
    <row r="221" spans="22:33" s="1" customFormat="1" x14ac:dyDescent="0.4">
      <c r="V221" s="74"/>
      <c r="W221" s="74"/>
      <c r="X221" s="74"/>
      <c r="Y221" s="74"/>
      <c r="Z221" s="74"/>
      <c r="AA221" s="74"/>
      <c r="AB221" s="74"/>
      <c r="AC221" s="74"/>
      <c r="AD221" s="74"/>
      <c r="AE221" s="74"/>
      <c r="AF221" s="74"/>
      <c r="AG221" s="74"/>
    </row>
    <row r="222" spans="22:33" s="1" customFormat="1" x14ac:dyDescent="0.4">
      <c r="V222" s="74"/>
      <c r="W222" s="74"/>
      <c r="X222" s="74"/>
      <c r="Y222" s="74"/>
      <c r="Z222" s="74"/>
      <c r="AA222" s="74"/>
      <c r="AB222" s="74"/>
      <c r="AC222" s="74"/>
      <c r="AD222" s="74"/>
      <c r="AE222" s="74"/>
      <c r="AF222" s="74"/>
      <c r="AG222" s="74"/>
    </row>
    <row r="223" spans="22:33" s="1" customFormat="1" x14ac:dyDescent="0.4">
      <c r="V223" s="74"/>
      <c r="W223" s="74"/>
      <c r="X223" s="74"/>
      <c r="Y223" s="74"/>
      <c r="Z223" s="74"/>
      <c r="AA223" s="74"/>
      <c r="AB223" s="74"/>
      <c r="AC223" s="74"/>
      <c r="AD223" s="74"/>
      <c r="AE223" s="74"/>
      <c r="AF223" s="74"/>
      <c r="AG223" s="74"/>
    </row>
    <row r="224" spans="22:33" s="1" customFormat="1" x14ac:dyDescent="0.4">
      <c r="V224" s="74"/>
      <c r="W224" s="74"/>
      <c r="X224" s="74"/>
      <c r="Y224" s="74"/>
      <c r="Z224" s="74"/>
      <c r="AA224" s="74"/>
      <c r="AB224" s="74"/>
      <c r="AC224" s="74"/>
      <c r="AD224" s="74"/>
      <c r="AE224" s="74"/>
      <c r="AF224" s="74"/>
      <c r="AG224" s="74"/>
    </row>
    <row r="225" spans="22:33" s="1" customFormat="1" x14ac:dyDescent="0.4">
      <c r="V225" s="74"/>
      <c r="W225" s="74"/>
      <c r="X225" s="74"/>
      <c r="Y225" s="74"/>
      <c r="Z225" s="74"/>
      <c r="AA225" s="74"/>
      <c r="AB225" s="74"/>
      <c r="AC225" s="74"/>
      <c r="AD225" s="74"/>
      <c r="AE225" s="74"/>
      <c r="AF225" s="74"/>
      <c r="AG225" s="74"/>
    </row>
    <row r="226" spans="22:33" s="1" customFormat="1" x14ac:dyDescent="0.4">
      <c r="V226" s="74"/>
      <c r="W226" s="74"/>
      <c r="X226" s="74"/>
      <c r="Y226" s="74"/>
      <c r="Z226" s="74"/>
      <c r="AA226" s="74"/>
      <c r="AB226" s="74"/>
      <c r="AC226" s="74"/>
      <c r="AD226" s="74"/>
      <c r="AE226" s="74"/>
      <c r="AF226" s="74"/>
      <c r="AG226" s="74"/>
    </row>
    <row r="227" spans="22:33" s="1" customFormat="1" x14ac:dyDescent="0.4">
      <c r="V227" s="74"/>
      <c r="W227" s="74"/>
      <c r="X227" s="74"/>
      <c r="Y227" s="74"/>
      <c r="Z227" s="74"/>
      <c r="AA227" s="74"/>
      <c r="AB227" s="74"/>
      <c r="AC227" s="74"/>
      <c r="AD227" s="74"/>
      <c r="AE227" s="74"/>
      <c r="AF227" s="74"/>
      <c r="AG227" s="74"/>
    </row>
    <row r="228" spans="22:33" s="1" customFormat="1" x14ac:dyDescent="0.4">
      <c r="V228" s="74"/>
      <c r="W228" s="74"/>
      <c r="X228" s="74"/>
      <c r="Y228" s="74"/>
      <c r="Z228" s="74"/>
      <c r="AA228" s="74"/>
      <c r="AB228" s="74"/>
      <c r="AC228" s="74"/>
      <c r="AD228" s="74"/>
      <c r="AE228" s="74"/>
      <c r="AF228" s="74"/>
      <c r="AG228" s="74"/>
    </row>
    <row r="229" spans="22:33" s="1" customFormat="1" x14ac:dyDescent="0.4">
      <c r="V229" s="74"/>
      <c r="W229" s="74"/>
      <c r="X229" s="74"/>
      <c r="Y229" s="74"/>
      <c r="Z229" s="74"/>
      <c r="AA229" s="74"/>
      <c r="AB229" s="74"/>
      <c r="AC229" s="74"/>
      <c r="AD229" s="74"/>
      <c r="AE229" s="74"/>
      <c r="AF229" s="74"/>
      <c r="AG229" s="74"/>
    </row>
    <row r="230" spans="22:33" s="1" customFormat="1" x14ac:dyDescent="0.4">
      <c r="V230" s="74"/>
      <c r="W230" s="74"/>
      <c r="X230" s="74"/>
      <c r="Y230" s="74"/>
      <c r="Z230" s="74"/>
      <c r="AA230" s="74"/>
      <c r="AB230" s="74"/>
      <c r="AC230" s="74"/>
      <c r="AD230" s="74"/>
      <c r="AE230" s="74"/>
      <c r="AF230" s="74"/>
      <c r="AG230" s="74"/>
    </row>
    <row r="231" spans="22:33" s="1" customFormat="1" x14ac:dyDescent="0.4">
      <c r="V231" s="74"/>
      <c r="W231" s="74"/>
      <c r="X231" s="74"/>
      <c r="Y231" s="74"/>
      <c r="Z231" s="74"/>
      <c r="AA231" s="74"/>
      <c r="AB231" s="74"/>
      <c r="AC231" s="74"/>
      <c r="AD231" s="74"/>
      <c r="AE231" s="74"/>
      <c r="AF231" s="74"/>
      <c r="AG231" s="74"/>
    </row>
    <row r="232" spans="22:33" s="1" customFormat="1" x14ac:dyDescent="0.4">
      <c r="V232" s="74"/>
      <c r="W232" s="74"/>
      <c r="X232" s="74"/>
      <c r="Y232" s="74"/>
      <c r="Z232" s="74"/>
      <c r="AA232" s="74"/>
      <c r="AB232" s="74"/>
      <c r="AC232" s="74"/>
      <c r="AD232" s="74"/>
      <c r="AE232" s="74"/>
      <c r="AF232" s="74"/>
      <c r="AG232" s="74"/>
    </row>
    <row r="233" spans="22:33" s="1" customFormat="1" x14ac:dyDescent="0.4">
      <c r="V233" s="74"/>
      <c r="W233" s="74"/>
      <c r="X233" s="74"/>
      <c r="Y233" s="74"/>
      <c r="Z233" s="74"/>
      <c r="AA233" s="74"/>
      <c r="AB233" s="74"/>
      <c r="AC233" s="74"/>
      <c r="AD233" s="74"/>
      <c r="AE233" s="74"/>
      <c r="AF233" s="74"/>
      <c r="AG233" s="74"/>
    </row>
    <row r="234" spans="22:33" s="1" customFormat="1" x14ac:dyDescent="0.4">
      <c r="V234" s="74"/>
      <c r="W234" s="74"/>
      <c r="X234" s="74"/>
      <c r="Y234" s="74"/>
      <c r="Z234" s="74"/>
      <c r="AA234" s="74"/>
      <c r="AB234" s="74"/>
      <c r="AC234" s="74"/>
      <c r="AD234" s="74"/>
      <c r="AE234" s="74"/>
      <c r="AF234" s="74"/>
      <c r="AG234" s="74"/>
    </row>
    <row r="235" spans="22:33" s="1" customFormat="1" x14ac:dyDescent="0.4">
      <c r="V235" s="74"/>
      <c r="W235" s="74"/>
      <c r="X235" s="74"/>
      <c r="Y235" s="74"/>
      <c r="Z235" s="74"/>
      <c r="AA235" s="74"/>
      <c r="AB235" s="74"/>
      <c r="AC235" s="74"/>
      <c r="AD235" s="74"/>
      <c r="AE235" s="74"/>
      <c r="AF235" s="74"/>
      <c r="AG235" s="74"/>
    </row>
    <row r="236" spans="22:33" s="1" customFormat="1" x14ac:dyDescent="0.4">
      <c r="V236" s="74"/>
      <c r="W236" s="74"/>
      <c r="X236" s="74"/>
      <c r="Y236" s="74"/>
      <c r="Z236" s="74"/>
      <c r="AA236" s="74"/>
      <c r="AB236" s="74"/>
      <c r="AC236" s="74"/>
      <c r="AD236" s="74"/>
      <c r="AE236" s="74"/>
      <c r="AF236" s="74"/>
      <c r="AG236" s="74"/>
    </row>
    <row r="237" spans="22:33" s="1" customFormat="1" x14ac:dyDescent="0.4">
      <c r="V237" s="74"/>
      <c r="W237" s="74"/>
      <c r="X237" s="74"/>
      <c r="Y237" s="74"/>
      <c r="Z237" s="74"/>
      <c r="AA237" s="74"/>
      <c r="AB237" s="74"/>
      <c r="AC237" s="74"/>
      <c r="AD237" s="74"/>
      <c r="AE237" s="74"/>
      <c r="AF237" s="74"/>
      <c r="AG237" s="74"/>
    </row>
    <row r="238" spans="22:33" s="1" customFormat="1" x14ac:dyDescent="0.4">
      <c r="V238" s="74"/>
      <c r="W238" s="74"/>
      <c r="X238" s="74"/>
      <c r="Y238" s="74"/>
      <c r="Z238" s="74"/>
      <c r="AA238" s="74"/>
      <c r="AB238" s="74"/>
      <c r="AC238" s="74"/>
      <c r="AD238" s="74"/>
      <c r="AE238" s="74"/>
      <c r="AF238" s="74"/>
      <c r="AG238" s="74"/>
    </row>
    <row r="239" spans="22:33" s="1" customFormat="1" x14ac:dyDescent="0.4">
      <c r="V239" s="74"/>
      <c r="W239" s="74"/>
      <c r="X239" s="74"/>
      <c r="Y239" s="74"/>
      <c r="Z239" s="74"/>
      <c r="AA239" s="74"/>
      <c r="AB239" s="74"/>
      <c r="AC239" s="74"/>
      <c r="AD239" s="74"/>
      <c r="AE239" s="74"/>
      <c r="AF239" s="74"/>
      <c r="AG239" s="74"/>
    </row>
    <row r="240" spans="22:33" s="1" customFormat="1" x14ac:dyDescent="0.4">
      <c r="V240" s="74"/>
      <c r="W240" s="74"/>
      <c r="X240" s="74"/>
      <c r="Y240" s="74"/>
      <c r="Z240" s="74"/>
      <c r="AA240" s="74"/>
      <c r="AB240" s="74"/>
      <c r="AC240" s="74"/>
      <c r="AD240" s="74"/>
      <c r="AE240" s="74"/>
      <c r="AF240" s="74"/>
      <c r="AG240" s="74"/>
    </row>
    <row r="241" spans="22:33" s="1" customFormat="1" x14ac:dyDescent="0.4">
      <c r="V241" s="74"/>
      <c r="W241" s="74"/>
      <c r="X241" s="74"/>
      <c r="Y241" s="74"/>
      <c r="Z241" s="74"/>
      <c r="AA241" s="74"/>
      <c r="AB241" s="74"/>
      <c r="AC241" s="74"/>
      <c r="AD241" s="74"/>
      <c r="AE241" s="74"/>
      <c r="AF241" s="74"/>
      <c r="AG241" s="74"/>
    </row>
    <row r="242" spans="22:33" s="1" customFormat="1" x14ac:dyDescent="0.4">
      <c r="V242" s="74"/>
      <c r="W242" s="74"/>
      <c r="X242" s="74"/>
      <c r="Y242" s="74"/>
      <c r="Z242" s="74"/>
      <c r="AA242" s="74"/>
      <c r="AB242" s="74"/>
      <c r="AC242" s="74"/>
      <c r="AD242" s="74"/>
      <c r="AE242" s="74"/>
      <c r="AF242" s="74"/>
      <c r="AG242" s="74"/>
    </row>
    <row r="243" spans="22:33" s="1" customFormat="1" x14ac:dyDescent="0.4">
      <c r="V243" s="74"/>
      <c r="W243" s="74"/>
      <c r="X243" s="74"/>
      <c r="Y243" s="74"/>
      <c r="Z243" s="74"/>
      <c r="AA243" s="74"/>
      <c r="AB243" s="74"/>
      <c r="AC243" s="74"/>
      <c r="AD243" s="74"/>
      <c r="AE243" s="74"/>
      <c r="AF243" s="74"/>
      <c r="AG243" s="74"/>
    </row>
    <row r="244" spans="22:33" s="1" customFormat="1" x14ac:dyDescent="0.4">
      <c r="V244" s="74"/>
      <c r="W244" s="74"/>
      <c r="X244" s="74"/>
      <c r="Y244" s="74"/>
      <c r="Z244" s="74"/>
      <c r="AA244" s="74"/>
      <c r="AB244" s="74"/>
      <c r="AC244" s="74"/>
      <c r="AD244" s="74"/>
      <c r="AE244" s="74"/>
      <c r="AF244" s="74"/>
      <c r="AG244" s="74"/>
    </row>
    <row r="245" spans="22:33" s="1" customFormat="1" x14ac:dyDescent="0.4">
      <c r="V245" s="74"/>
      <c r="W245" s="74"/>
      <c r="X245" s="74"/>
      <c r="Y245" s="74"/>
      <c r="Z245" s="74"/>
      <c r="AA245" s="74"/>
      <c r="AB245" s="74"/>
      <c r="AC245" s="74"/>
      <c r="AD245" s="74"/>
      <c r="AE245" s="74"/>
      <c r="AF245" s="74"/>
      <c r="AG245" s="74"/>
    </row>
    <row r="246" spans="22:33" s="1" customFormat="1" x14ac:dyDescent="0.4">
      <c r="V246" s="74"/>
      <c r="W246" s="74"/>
      <c r="X246" s="74"/>
      <c r="Y246" s="74"/>
      <c r="Z246" s="74"/>
      <c r="AA246" s="74"/>
      <c r="AB246" s="74"/>
      <c r="AC246" s="74"/>
      <c r="AD246" s="74"/>
      <c r="AE246" s="74"/>
      <c r="AF246" s="74"/>
      <c r="AG246" s="74"/>
    </row>
    <row r="247" spans="22:33" s="1" customFormat="1" x14ac:dyDescent="0.4">
      <c r="V247" s="74"/>
      <c r="W247" s="74"/>
      <c r="X247" s="74"/>
      <c r="Y247" s="74"/>
      <c r="Z247" s="74"/>
      <c r="AA247" s="74"/>
      <c r="AB247" s="74"/>
      <c r="AC247" s="74"/>
      <c r="AD247" s="74"/>
      <c r="AE247" s="74"/>
      <c r="AF247" s="74"/>
      <c r="AG247" s="74"/>
    </row>
    <row r="248" spans="22:33" s="1" customFormat="1" x14ac:dyDescent="0.4">
      <c r="V248" s="74"/>
      <c r="W248" s="74"/>
      <c r="X248" s="74"/>
      <c r="Y248" s="74"/>
      <c r="Z248" s="74"/>
      <c r="AA248" s="74"/>
      <c r="AB248" s="74"/>
      <c r="AC248" s="74"/>
      <c r="AD248" s="74"/>
      <c r="AE248" s="74"/>
      <c r="AF248" s="74"/>
      <c r="AG248" s="74"/>
    </row>
    <row r="249" spans="22:33" s="1" customFormat="1" x14ac:dyDescent="0.4">
      <c r="V249" s="74"/>
      <c r="W249" s="74"/>
      <c r="X249" s="74"/>
      <c r="Y249" s="74"/>
      <c r="Z249" s="74"/>
      <c r="AA249" s="74"/>
      <c r="AB249" s="74"/>
      <c r="AC249" s="74"/>
      <c r="AD249" s="74"/>
      <c r="AE249" s="74"/>
      <c r="AF249" s="74"/>
      <c r="AG249" s="74"/>
    </row>
    <row r="250" spans="22:33" s="1" customFormat="1" x14ac:dyDescent="0.4">
      <c r="V250" s="74"/>
      <c r="W250" s="74"/>
      <c r="X250" s="74"/>
      <c r="Y250" s="74"/>
      <c r="Z250" s="74"/>
      <c r="AA250" s="74"/>
      <c r="AB250" s="74"/>
      <c r="AC250" s="74"/>
      <c r="AD250" s="74"/>
      <c r="AE250" s="74"/>
      <c r="AF250" s="74"/>
      <c r="AG250" s="74"/>
    </row>
    <row r="251" spans="22:33" s="1" customFormat="1" x14ac:dyDescent="0.4">
      <c r="V251" s="74"/>
      <c r="W251" s="74"/>
      <c r="X251" s="74"/>
      <c r="Y251" s="74"/>
      <c r="Z251" s="74"/>
      <c r="AA251" s="74"/>
      <c r="AB251" s="74"/>
      <c r="AC251" s="74"/>
      <c r="AD251" s="74"/>
      <c r="AE251" s="74"/>
      <c r="AF251" s="74"/>
      <c r="AG251" s="74"/>
    </row>
    <row r="252" spans="22:33" s="1" customFormat="1" x14ac:dyDescent="0.4">
      <c r="V252" s="74"/>
      <c r="W252" s="74"/>
      <c r="X252" s="74"/>
      <c r="Y252" s="74"/>
      <c r="Z252" s="74"/>
      <c r="AA252" s="74"/>
      <c r="AB252" s="74"/>
      <c r="AC252" s="74"/>
      <c r="AD252" s="74"/>
      <c r="AE252" s="74"/>
      <c r="AF252" s="74"/>
      <c r="AG252" s="74"/>
    </row>
    <row r="253" spans="22:33" s="1" customFormat="1" x14ac:dyDescent="0.4">
      <c r="V253" s="74"/>
      <c r="W253" s="74"/>
      <c r="X253" s="74"/>
      <c r="Y253" s="74"/>
      <c r="Z253" s="74"/>
      <c r="AA253" s="74"/>
      <c r="AB253" s="74"/>
      <c r="AC253" s="74"/>
      <c r="AD253" s="74"/>
      <c r="AE253" s="74"/>
      <c r="AF253" s="74"/>
      <c r="AG253" s="74"/>
    </row>
    <row r="254" spans="22:33" s="1" customFormat="1" x14ac:dyDescent="0.4">
      <c r="V254" s="74"/>
      <c r="W254" s="74"/>
      <c r="X254" s="74"/>
      <c r="Y254" s="74"/>
      <c r="Z254" s="74"/>
      <c r="AA254" s="74"/>
      <c r="AB254" s="74"/>
      <c r="AC254" s="74"/>
      <c r="AD254" s="74"/>
      <c r="AE254" s="74"/>
      <c r="AF254" s="74"/>
      <c r="AG254" s="74"/>
    </row>
    <row r="255" spans="22:33" s="1" customFormat="1" x14ac:dyDescent="0.4">
      <c r="V255" s="74"/>
      <c r="W255" s="74"/>
      <c r="X255" s="74"/>
      <c r="Y255" s="74"/>
      <c r="Z255" s="74"/>
      <c r="AA255" s="74"/>
      <c r="AB255" s="74"/>
      <c r="AC255" s="74"/>
      <c r="AD255" s="74"/>
      <c r="AE255" s="74"/>
      <c r="AF255" s="74"/>
      <c r="AG255" s="74"/>
    </row>
    <row r="256" spans="22:33" s="1" customFormat="1" x14ac:dyDescent="0.4">
      <c r="V256" s="74"/>
      <c r="W256" s="74"/>
      <c r="X256" s="74"/>
      <c r="Y256" s="74"/>
      <c r="Z256" s="74"/>
      <c r="AA256" s="74"/>
      <c r="AB256" s="74"/>
      <c r="AC256" s="74"/>
      <c r="AD256" s="74"/>
      <c r="AE256" s="74"/>
      <c r="AF256" s="74"/>
      <c r="AG256" s="74"/>
    </row>
    <row r="257" spans="22:33" s="1" customFormat="1" x14ac:dyDescent="0.4">
      <c r="V257" s="74"/>
      <c r="W257" s="74"/>
      <c r="X257" s="74"/>
      <c r="Y257" s="74"/>
      <c r="Z257" s="74"/>
      <c r="AA257" s="74"/>
      <c r="AB257" s="74"/>
      <c r="AC257" s="74"/>
      <c r="AD257" s="74"/>
      <c r="AE257" s="74"/>
      <c r="AF257" s="74"/>
      <c r="AG257" s="74"/>
    </row>
    <row r="258" spans="22:33" s="1" customFormat="1" x14ac:dyDescent="0.4">
      <c r="V258" s="74"/>
      <c r="W258" s="74"/>
      <c r="X258" s="74"/>
      <c r="Y258" s="74"/>
      <c r="Z258" s="74"/>
      <c r="AA258" s="74"/>
      <c r="AB258" s="74"/>
      <c r="AC258" s="74"/>
      <c r="AD258" s="74"/>
      <c r="AE258" s="74"/>
      <c r="AF258" s="74"/>
      <c r="AG258" s="74"/>
    </row>
    <row r="259" spans="22:33" s="1" customFormat="1" x14ac:dyDescent="0.4">
      <c r="V259" s="74"/>
      <c r="W259" s="74"/>
      <c r="X259" s="74"/>
      <c r="Y259" s="74"/>
      <c r="Z259" s="74"/>
      <c r="AA259" s="74"/>
      <c r="AB259" s="74"/>
      <c r="AC259" s="74"/>
      <c r="AD259" s="74"/>
      <c r="AE259" s="74"/>
      <c r="AF259" s="74"/>
      <c r="AG259" s="74"/>
    </row>
    <row r="260" spans="22:33" s="1" customFormat="1" x14ac:dyDescent="0.4">
      <c r="V260" s="74"/>
      <c r="W260" s="74"/>
      <c r="X260" s="74"/>
      <c r="Y260" s="74"/>
      <c r="Z260" s="74"/>
      <c r="AA260" s="74"/>
      <c r="AB260" s="74"/>
      <c r="AC260" s="74"/>
      <c r="AD260" s="74"/>
      <c r="AE260" s="74"/>
      <c r="AF260" s="74"/>
      <c r="AG260" s="74"/>
    </row>
    <row r="261" spans="22:33" s="1" customFormat="1" x14ac:dyDescent="0.4">
      <c r="V261" s="74"/>
      <c r="W261" s="74"/>
      <c r="X261" s="74"/>
      <c r="Y261" s="74"/>
      <c r="Z261" s="74"/>
      <c r="AA261" s="74"/>
      <c r="AB261" s="74"/>
      <c r="AC261" s="74"/>
      <c r="AD261" s="74"/>
      <c r="AE261" s="74"/>
      <c r="AF261" s="74"/>
      <c r="AG261" s="74"/>
    </row>
    <row r="262" spans="22:33" s="1" customFormat="1" x14ac:dyDescent="0.4">
      <c r="V262" s="74"/>
      <c r="W262" s="74"/>
      <c r="X262" s="74"/>
      <c r="Y262" s="74"/>
      <c r="Z262" s="74"/>
      <c r="AA262" s="74"/>
      <c r="AB262" s="74"/>
      <c r="AC262" s="74"/>
      <c r="AD262" s="74"/>
      <c r="AE262" s="74"/>
      <c r="AF262" s="74"/>
      <c r="AG262" s="74"/>
    </row>
    <row r="263" spans="22:33" s="1" customFormat="1" x14ac:dyDescent="0.4">
      <c r="V263" s="74"/>
      <c r="W263" s="74"/>
      <c r="X263" s="74"/>
      <c r="Y263" s="74"/>
      <c r="Z263" s="74"/>
      <c r="AA263" s="74"/>
      <c r="AB263" s="74"/>
      <c r="AC263" s="74"/>
      <c r="AD263" s="74"/>
      <c r="AE263" s="74"/>
      <c r="AF263" s="74"/>
      <c r="AG263" s="74"/>
    </row>
    <row r="264" spans="22:33" s="1" customFormat="1" x14ac:dyDescent="0.4">
      <c r="V264" s="74"/>
      <c r="W264" s="74"/>
      <c r="X264" s="74"/>
      <c r="Y264" s="74"/>
      <c r="Z264" s="74"/>
      <c r="AA264" s="74"/>
      <c r="AB264" s="74"/>
      <c r="AC264" s="74"/>
      <c r="AD264" s="74"/>
      <c r="AE264" s="74"/>
      <c r="AF264" s="74"/>
      <c r="AG264" s="74"/>
    </row>
    <row r="265" spans="22:33" s="1" customFormat="1" x14ac:dyDescent="0.4">
      <c r="V265" s="74"/>
      <c r="W265" s="74"/>
      <c r="X265" s="74"/>
      <c r="Y265" s="74"/>
      <c r="Z265" s="74"/>
      <c r="AA265" s="74"/>
      <c r="AB265" s="74"/>
      <c r="AC265" s="74"/>
      <c r="AD265" s="74"/>
      <c r="AE265" s="74"/>
      <c r="AF265" s="74"/>
      <c r="AG265" s="74"/>
    </row>
    <row r="266" spans="22:33" s="1" customFormat="1" x14ac:dyDescent="0.4">
      <c r="V266" s="74"/>
      <c r="W266" s="74"/>
      <c r="X266" s="74"/>
      <c r="Y266" s="74"/>
      <c r="Z266" s="74"/>
      <c r="AA266" s="74"/>
      <c r="AB266" s="74"/>
      <c r="AC266" s="74"/>
      <c r="AD266" s="74"/>
      <c r="AE266" s="74"/>
      <c r="AF266" s="74"/>
      <c r="AG266" s="74"/>
    </row>
    <row r="267" spans="22:33" s="1" customFormat="1" x14ac:dyDescent="0.4">
      <c r="V267" s="74"/>
      <c r="W267" s="74"/>
      <c r="X267" s="74"/>
      <c r="Y267" s="74"/>
      <c r="Z267" s="74"/>
      <c r="AA267" s="74"/>
      <c r="AB267" s="74"/>
      <c r="AC267" s="74"/>
      <c r="AD267" s="74"/>
      <c r="AE267" s="74"/>
      <c r="AF267" s="74"/>
      <c r="AG267" s="74"/>
    </row>
    <row r="268" spans="22:33" s="1" customFormat="1" x14ac:dyDescent="0.4">
      <c r="V268" s="74"/>
      <c r="W268" s="74"/>
      <c r="X268" s="74"/>
      <c r="Y268" s="74"/>
      <c r="Z268" s="74"/>
      <c r="AA268" s="74"/>
      <c r="AB268" s="74"/>
      <c r="AC268" s="74"/>
      <c r="AD268" s="74"/>
      <c r="AE268" s="74"/>
      <c r="AF268" s="74"/>
      <c r="AG268" s="74"/>
    </row>
    <row r="269" spans="22:33" s="1" customFormat="1" x14ac:dyDescent="0.4">
      <c r="V269" s="74"/>
      <c r="W269" s="74"/>
      <c r="X269" s="74"/>
      <c r="Y269" s="74"/>
      <c r="Z269" s="74"/>
      <c r="AA269" s="74"/>
      <c r="AB269" s="74"/>
      <c r="AC269" s="74"/>
      <c r="AD269" s="74"/>
      <c r="AE269" s="74"/>
      <c r="AF269" s="74"/>
      <c r="AG269" s="74"/>
    </row>
    <row r="270" spans="22:33" s="1" customFormat="1" x14ac:dyDescent="0.4">
      <c r="V270" s="74"/>
      <c r="W270" s="74"/>
      <c r="X270" s="74"/>
      <c r="Y270" s="74"/>
      <c r="Z270" s="74"/>
      <c r="AA270" s="74"/>
      <c r="AB270" s="74"/>
      <c r="AC270" s="74"/>
      <c r="AD270" s="74"/>
      <c r="AE270" s="74"/>
      <c r="AF270" s="74"/>
      <c r="AG270" s="74"/>
    </row>
    <row r="271" spans="22:33" s="1" customFormat="1" x14ac:dyDescent="0.4">
      <c r="V271" s="74"/>
      <c r="W271" s="74"/>
      <c r="X271" s="74"/>
      <c r="Y271" s="74"/>
      <c r="Z271" s="74"/>
      <c r="AA271" s="74"/>
      <c r="AB271" s="74"/>
      <c r="AC271" s="74"/>
      <c r="AD271" s="74"/>
      <c r="AE271" s="74"/>
      <c r="AF271" s="74"/>
      <c r="AG271" s="74"/>
    </row>
    <row r="272" spans="22:33" s="1" customFormat="1" x14ac:dyDescent="0.4">
      <c r="V272" s="74"/>
      <c r="W272" s="74"/>
      <c r="X272" s="74"/>
      <c r="Y272" s="74"/>
      <c r="Z272" s="74"/>
      <c r="AA272" s="74"/>
      <c r="AB272" s="74"/>
      <c r="AC272" s="74"/>
      <c r="AD272" s="74"/>
      <c r="AE272" s="74"/>
      <c r="AF272" s="74"/>
      <c r="AG272" s="74"/>
    </row>
    <row r="273" spans="22:33" s="1" customFormat="1" x14ac:dyDescent="0.4">
      <c r="V273" s="74"/>
      <c r="W273" s="74"/>
      <c r="X273" s="74"/>
      <c r="Y273" s="74"/>
      <c r="Z273" s="74"/>
      <c r="AA273" s="74"/>
      <c r="AB273" s="74"/>
      <c r="AC273" s="74"/>
      <c r="AD273" s="74"/>
      <c r="AE273" s="74"/>
      <c r="AF273" s="74"/>
      <c r="AG273" s="74"/>
    </row>
    <row r="274" spans="22:33" s="1" customFormat="1" x14ac:dyDescent="0.4">
      <c r="V274" s="74"/>
      <c r="W274" s="74"/>
      <c r="X274" s="74"/>
      <c r="Y274" s="74"/>
      <c r="Z274" s="74"/>
      <c r="AA274" s="74"/>
      <c r="AB274" s="74"/>
      <c r="AC274" s="74"/>
      <c r="AD274" s="74"/>
      <c r="AE274" s="74"/>
      <c r="AF274" s="74"/>
      <c r="AG274" s="74"/>
    </row>
    <row r="275" spans="22:33" s="1" customFormat="1" x14ac:dyDescent="0.4">
      <c r="V275" s="74"/>
      <c r="W275" s="74"/>
      <c r="X275" s="74"/>
      <c r="Y275" s="74"/>
      <c r="Z275" s="74"/>
      <c r="AA275" s="74"/>
      <c r="AB275" s="74"/>
      <c r="AC275" s="74"/>
      <c r="AD275" s="74"/>
      <c r="AE275" s="74"/>
      <c r="AF275" s="74"/>
      <c r="AG275" s="74"/>
    </row>
    <row r="276" spans="22:33" s="1" customFormat="1" x14ac:dyDescent="0.4">
      <c r="V276" s="74"/>
      <c r="W276" s="74"/>
      <c r="X276" s="74"/>
      <c r="Y276" s="74"/>
      <c r="Z276" s="74"/>
      <c r="AA276" s="74"/>
      <c r="AB276" s="74"/>
      <c r="AC276" s="74"/>
      <c r="AD276" s="74"/>
      <c r="AE276" s="74"/>
      <c r="AF276" s="74"/>
      <c r="AG276" s="74"/>
    </row>
    <row r="277" spans="22:33" s="1" customFormat="1" x14ac:dyDescent="0.4">
      <c r="V277" s="74"/>
      <c r="W277" s="74"/>
      <c r="X277" s="74"/>
      <c r="Y277" s="74"/>
      <c r="Z277" s="74"/>
      <c r="AA277" s="74"/>
      <c r="AB277" s="74"/>
      <c r="AC277" s="74"/>
      <c r="AD277" s="74"/>
      <c r="AE277" s="74"/>
      <c r="AF277" s="74"/>
      <c r="AG277" s="74"/>
    </row>
    <row r="278" spans="22:33" s="1" customFormat="1" x14ac:dyDescent="0.4">
      <c r="V278" s="74"/>
      <c r="W278" s="74"/>
      <c r="X278" s="74"/>
      <c r="Y278" s="74"/>
      <c r="Z278" s="74"/>
      <c r="AA278" s="74"/>
      <c r="AB278" s="74"/>
      <c r="AC278" s="74"/>
      <c r="AD278" s="74"/>
      <c r="AE278" s="74"/>
      <c r="AF278" s="74"/>
      <c r="AG278" s="74"/>
    </row>
    <row r="279" spans="22:33" s="1" customFormat="1" x14ac:dyDescent="0.4">
      <c r="V279" s="74"/>
      <c r="W279" s="74"/>
      <c r="X279" s="74"/>
      <c r="Y279" s="74"/>
      <c r="Z279" s="74"/>
      <c r="AA279" s="74"/>
      <c r="AB279" s="74"/>
      <c r="AC279" s="74"/>
      <c r="AD279" s="74"/>
      <c r="AE279" s="74"/>
      <c r="AF279" s="74"/>
      <c r="AG279" s="74"/>
    </row>
    <row r="280" spans="22:33" s="1" customFormat="1" x14ac:dyDescent="0.4">
      <c r="V280" s="74"/>
      <c r="W280" s="74"/>
      <c r="X280" s="74"/>
      <c r="Y280" s="74"/>
      <c r="Z280" s="74"/>
      <c r="AA280" s="74"/>
      <c r="AB280" s="74"/>
      <c r="AC280" s="74"/>
      <c r="AD280" s="74"/>
      <c r="AE280" s="74"/>
      <c r="AF280" s="74"/>
      <c r="AG280" s="74"/>
    </row>
    <row r="281" spans="22:33" s="1" customFormat="1" x14ac:dyDescent="0.4">
      <c r="V281" s="74"/>
      <c r="W281" s="74"/>
      <c r="X281" s="74"/>
      <c r="Y281" s="74"/>
      <c r="Z281" s="74"/>
      <c r="AA281" s="74"/>
      <c r="AB281" s="74"/>
      <c r="AC281" s="74"/>
      <c r="AD281" s="74"/>
      <c r="AE281" s="74"/>
      <c r="AF281" s="74"/>
      <c r="AG281" s="74"/>
    </row>
    <row r="282" spans="22:33" s="1" customFormat="1" x14ac:dyDescent="0.4">
      <c r="V282" s="74"/>
      <c r="W282" s="74"/>
      <c r="X282" s="74"/>
      <c r="Y282" s="74"/>
      <c r="Z282" s="74"/>
      <c r="AA282" s="74"/>
      <c r="AB282" s="74"/>
      <c r="AC282" s="74"/>
      <c r="AD282" s="74"/>
      <c r="AE282" s="74"/>
      <c r="AF282" s="74"/>
      <c r="AG282" s="74"/>
    </row>
    <row r="283" spans="22:33" s="1" customFormat="1" x14ac:dyDescent="0.4">
      <c r="V283" s="74"/>
      <c r="W283" s="74"/>
      <c r="X283" s="74"/>
      <c r="Y283" s="74"/>
      <c r="Z283" s="74"/>
      <c r="AA283" s="74"/>
      <c r="AB283" s="74"/>
      <c r="AC283" s="74"/>
      <c r="AD283" s="74"/>
      <c r="AE283" s="74"/>
      <c r="AF283" s="74"/>
      <c r="AG283" s="74"/>
    </row>
    <row r="284" spans="22:33" s="1" customFormat="1" x14ac:dyDescent="0.4">
      <c r="V284" s="74"/>
      <c r="W284" s="74"/>
      <c r="X284" s="74"/>
      <c r="Y284" s="74"/>
      <c r="Z284" s="74"/>
      <c r="AA284" s="74"/>
      <c r="AB284" s="74"/>
      <c r="AC284" s="74"/>
      <c r="AD284" s="74"/>
      <c r="AE284" s="74"/>
      <c r="AF284" s="74"/>
      <c r="AG284" s="74"/>
    </row>
    <row r="285" spans="22:33" s="1" customFormat="1" x14ac:dyDescent="0.4">
      <c r="V285" s="74"/>
      <c r="W285" s="74"/>
      <c r="X285" s="74"/>
      <c r="Y285" s="74"/>
      <c r="Z285" s="74"/>
      <c r="AA285" s="74"/>
      <c r="AB285" s="74"/>
      <c r="AC285" s="74"/>
      <c r="AD285" s="74"/>
      <c r="AE285" s="74"/>
      <c r="AF285" s="74"/>
      <c r="AG285" s="74"/>
    </row>
    <row r="286" spans="22:33" s="1" customFormat="1" x14ac:dyDescent="0.4">
      <c r="V286" s="74"/>
      <c r="W286" s="74"/>
      <c r="X286" s="74"/>
      <c r="Y286" s="74"/>
      <c r="Z286" s="74"/>
      <c r="AA286" s="74"/>
      <c r="AB286" s="74"/>
      <c r="AC286" s="74"/>
      <c r="AD286" s="74"/>
      <c r="AE286" s="74"/>
      <c r="AF286" s="74"/>
      <c r="AG286" s="74"/>
    </row>
    <row r="287" spans="22:33" s="1" customFormat="1" x14ac:dyDescent="0.4">
      <c r="V287" s="74"/>
      <c r="W287" s="74"/>
      <c r="X287" s="74"/>
      <c r="Y287" s="74"/>
      <c r="Z287" s="74"/>
      <c r="AA287" s="74"/>
      <c r="AB287" s="74"/>
      <c r="AC287" s="74"/>
      <c r="AD287" s="74"/>
      <c r="AE287" s="74"/>
      <c r="AF287" s="74"/>
      <c r="AG287" s="74"/>
    </row>
    <row r="288" spans="22:33" s="1" customFormat="1" x14ac:dyDescent="0.4">
      <c r="V288" s="74"/>
      <c r="W288" s="74"/>
      <c r="X288" s="74"/>
      <c r="Y288" s="74"/>
      <c r="Z288" s="74"/>
      <c r="AA288" s="74"/>
      <c r="AB288" s="74"/>
      <c r="AC288" s="74"/>
      <c r="AD288" s="74"/>
      <c r="AE288" s="74"/>
      <c r="AF288" s="74"/>
      <c r="AG288" s="74"/>
    </row>
    <row r="289" spans="22:33" s="1" customFormat="1" x14ac:dyDescent="0.4">
      <c r="V289" s="74"/>
      <c r="W289" s="74"/>
      <c r="X289" s="74"/>
      <c r="Y289" s="74"/>
      <c r="Z289" s="74"/>
      <c r="AA289" s="74"/>
      <c r="AB289" s="74"/>
      <c r="AC289" s="74"/>
      <c r="AD289" s="74"/>
      <c r="AE289" s="74"/>
      <c r="AF289" s="74"/>
      <c r="AG289" s="74"/>
    </row>
    <row r="290" spans="22:33" s="1" customFormat="1" x14ac:dyDescent="0.4">
      <c r="V290" s="74"/>
      <c r="W290" s="74"/>
      <c r="X290" s="74"/>
      <c r="Y290" s="74"/>
      <c r="Z290" s="74"/>
      <c r="AA290" s="74"/>
      <c r="AB290" s="74"/>
      <c r="AC290" s="74"/>
      <c r="AD290" s="74"/>
      <c r="AE290" s="74"/>
      <c r="AF290" s="74"/>
      <c r="AG290" s="74"/>
    </row>
    <row r="291" spans="22:33" s="1" customFormat="1" x14ac:dyDescent="0.4">
      <c r="V291" s="74"/>
      <c r="W291" s="74"/>
      <c r="X291" s="74"/>
      <c r="Y291" s="74"/>
      <c r="Z291" s="74"/>
      <c r="AA291" s="74"/>
      <c r="AB291" s="74"/>
      <c r="AC291" s="74"/>
      <c r="AD291" s="74"/>
      <c r="AE291" s="74"/>
      <c r="AF291" s="74"/>
      <c r="AG291" s="74"/>
    </row>
    <row r="292" spans="22:33" s="1" customFormat="1" x14ac:dyDescent="0.4">
      <c r="V292" s="74"/>
      <c r="W292" s="74"/>
      <c r="X292" s="74"/>
      <c r="Y292" s="74"/>
      <c r="Z292" s="74"/>
      <c r="AA292" s="74"/>
      <c r="AB292" s="74"/>
      <c r="AC292" s="74"/>
      <c r="AD292" s="74"/>
      <c r="AE292" s="74"/>
      <c r="AF292" s="74"/>
      <c r="AG292" s="74"/>
    </row>
    <row r="293" spans="22:33" s="1" customFormat="1" x14ac:dyDescent="0.4">
      <c r="V293" s="74"/>
      <c r="W293" s="74"/>
      <c r="X293" s="74"/>
      <c r="Y293" s="74"/>
      <c r="Z293" s="74"/>
      <c r="AA293" s="74"/>
      <c r="AB293" s="74"/>
      <c r="AC293" s="74"/>
      <c r="AD293" s="74"/>
      <c r="AE293" s="74"/>
      <c r="AF293" s="74"/>
      <c r="AG293" s="74"/>
    </row>
    <row r="294" spans="22:33" s="1" customFormat="1" x14ac:dyDescent="0.4">
      <c r="V294" s="74"/>
      <c r="W294" s="74"/>
      <c r="X294" s="74"/>
      <c r="Y294" s="74"/>
      <c r="Z294" s="74"/>
      <c r="AA294" s="74"/>
      <c r="AB294" s="74"/>
      <c r="AC294" s="74"/>
      <c r="AD294" s="74"/>
      <c r="AE294" s="74"/>
      <c r="AF294" s="74"/>
      <c r="AG294" s="74"/>
    </row>
    <row r="295" spans="22:33" s="1" customFormat="1" x14ac:dyDescent="0.4">
      <c r="V295" s="74"/>
      <c r="W295" s="74"/>
      <c r="X295" s="74"/>
      <c r="Y295" s="74"/>
      <c r="Z295" s="74"/>
      <c r="AA295" s="74"/>
      <c r="AB295" s="74"/>
      <c r="AC295" s="74"/>
      <c r="AD295" s="74"/>
      <c r="AE295" s="74"/>
      <c r="AF295" s="74"/>
      <c r="AG295" s="74"/>
    </row>
    <row r="296" spans="22:33" s="1" customFormat="1" x14ac:dyDescent="0.4">
      <c r="V296" s="74"/>
      <c r="W296" s="74"/>
      <c r="X296" s="74"/>
      <c r="Y296" s="74"/>
      <c r="Z296" s="74"/>
      <c r="AA296" s="74"/>
      <c r="AB296" s="74"/>
      <c r="AC296" s="74"/>
      <c r="AD296" s="74"/>
      <c r="AE296" s="74"/>
      <c r="AF296" s="74"/>
      <c r="AG296" s="74"/>
    </row>
    <row r="297" spans="22:33" s="1" customFormat="1" x14ac:dyDescent="0.4">
      <c r="V297" s="74"/>
      <c r="W297" s="74"/>
      <c r="X297" s="74"/>
      <c r="Y297" s="74"/>
      <c r="Z297" s="74"/>
      <c r="AA297" s="74"/>
      <c r="AB297" s="74"/>
      <c r="AC297" s="74"/>
      <c r="AD297" s="74"/>
      <c r="AE297" s="74"/>
      <c r="AF297" s="74"/>
      <c r="AG297" s="74"/>
    </row>
    <row r="298" spans="22:33" s="1" customFormat="1" x14ac:dyDescent="0.4">
      <c r="V298" s="74"/>
      <c r="W298" s="74"/>
      <c r="X298" s="74"/>
      <c r="Y298" s="74"/>
      <c r="Z298" s="74"/>
      <c r="AA298" s="74"/>
      <c r="AB298" s="74"/>
      <c r="AC298" s="74"/>
      <c r="AD298" s="74"/>
      <c r="AE298" s="74"/>
      <c r="AF298" s="74"/>
      <c r="AG298" s="74"/>
    </row>
    <row r="299" spans="22:33" s="1" customFormat="1" x14ac:dyDescent="0.4">
      <c r="V299" s="74"/>
      <c r="W299" s="74"/>
      <c r="X299" s="74"/>
      <c r="Y299" s="74"/>
      <c r="Z299" s="74"/>
      <c r="AA299" s="74"/>
      <c r="AB299" s="74"/>
      <c r="AC299" s="74"/>
      <c r="AD299" s="74"/>
      <c r="AE299" s="74"/>
      <c r="AF299" s="74"/>
      <c r="AG299" s="74"/>
    </row>
    <row r="300" spans="22:33" s="1" customFormat="1" x14ac:dyDescent="0.4">
      <c r="V300" s="74"/>
      <c r="W300" s="74"/>
      <c r="X300" s="74"/>
      <c r="Y300" s="74"/>
      <c r="Z300" s="74"/>
      <c r="AA300" s="74"/>
      <c r="AB300" s="74"/>
      <c r="AC300" s="74"/>
      <c r="AD300" s="74"/>
      <c r="AE300" s="74"/>
      <c r="AF300" s="74"/>
      <c r="AG300" s="74"/>
    </row>
    <row r="301" spans="22:33" s="1" customFormat="1" x14ac:dyDescent="0.4">
      <c r="V301" s="74"/>
      <c r="W301" s="74"/>
      <c r="X301" s="74"/>
      <c r="Y301" s="74"/>
      <c r="Z301" s="74"/>
      <c r="AA301" s="74"/>
      <c r="AB301" s="74"/>
      <c r="AC301" s="74"/>
      <c r="AD301" s="74"/>
      <c r="AE301" s="74"/>
      <c r="AF301" s="74"/>
      <c r="AG301" s="74"/>
    </row>
    <row r="302" spans="22:33" s="1" customFormat="1" x14ac:dyDescent="0.4">
      <c r="V302" s="74"/>
      <c r="W302" s="74"/>
      <c r="X302" s="74"/>
      <c r="Y302" s="74"/>
      <c r="Z302" s="74"/>
      <c r="AA302" s="74"/>
      <c r="AB302" s="74"/>
      <c r="AC302" s="74"/>
      <c r="AD302" s="74"/>
      <c r="AE302" s="74"/>
      <c r="AF302" s="74"/>
      <c r="AG302" s="74"/>
    </row>
    <row r="303" spans="22:33" s="1" customFormat="1" x14ac:dyDescent="0.4">
      <c r="V303" s="74"/>
      <c r="W303" s="74"/>
      <c r="X303" s="74"/>
      <c r="Y303" s="74"/>
      <c r="Z303" s="74"/>
      <c r="AA303" s="74"/>
      <c r="AB303" s="74"/>
      <c r="AC303" s="74"/>
      <c r="AD303" s="74"/>
      <c r="AE303" s="74"/>
      <c r="AF303" s="74"/>
      <c r="AG303" s="74"/>
    </row>
    <row r="304" spans="22:33" s="1" customFormat="1" x14ac:dyDescent="0.4">
      <c r="V304" s="74"/>
      <c r="W304" s="74"/>
      <c r="X304" s="74"/>
      <c r="Y304" s="74"/>
      <c r="Z304" s="74"/>
      <c r="AA304" s="74"/>
      <c r="AB304" s="74"/>
      <c r="AC304" s="74"/>
      <c r="AD304" s="74"/>
      <c r="AE304" s="74"/>
      <c r="AF304" s="74"/>
      <c r="AG304" s="74"/>
    </row>
    <row r="305" spans="22:33" s="1" customFormat="1" x14ac:dyDescent="0.4">
      <c r="V305" s="74"/>
      <c r="W305" s="74"/>
      <c r="X305" s="74"/>
      <c r="Y305" s="74"/>
      <c r="Z305" s="74"/>
      <c r="AA305" s="74"/>
      <c r="AB305" s="74"/>
      <c r="AC305" s="74"/>
      <c r="AD305" s="74"/>
      <c r="AE305" s="74"/>
      <c r="AF305" s="74"/>
      <c r="AG305" s="74"/>
    </row>
    <row r="306" spans="22:33" s="1" customFormat="1" x14ac:dyDescent="0.4">
      <c r="V306" s="74"/>
      <c r="W306" s="74"/>
      <c r="X306" s="74"/>
      <c r="Y306" s="74"/>
      <c r="Z306" s="74"/>
      <c r="AA306" s="74"/>
      <c r="AB306" s="74"/>
      <c r="AC306" s="74"/>
      <c r="AD306" s="74"/>
      <c r="AE306" s="74"/>
      <c r="AF306" s="74"/>
      <c r="AG306" s="74"/>
    </row>
    <row r="307" spans="22:33" s="1" customFormat="1" x14ac:dyDescent="0.4">
      <c r="V307" s="74"/>
      <c r="W307" s="74"/>
      <c r="X307" s="74"/>
      <c r="Y307" s="74"/>
      <c r="Z307" s="74"/>
      <c r="AA307" s="74"/>
      <c r="AB307" s="74"/>
      <c r="AC307" s="74"/>
      <c r="AD307" s="74"/>
      <c r="AE307" s="74"/>
      <c r="AF307" s="74"/>
      <c r="AG307" s="74"/>
    </row>
    <row r="308" spans="22:33" s="1" customFormat="1" x14ac:dyDescent="0.4">
      <c r="V308" s="74"/>
      <c r="W308" s="74"/>
      <c r="X308" s="74"/>
      <c r="Y308" s="74"/>
      <c r="Z308" s="74"/>
      <c r="AA308" s="74"/>
      <c r="AB308" s="74"/>
      <c r="AC308" s="74"/>
      <c r="AD308" s="74"/>
      <c r="AE308" s="74"/>
      <c r="AF308" s="74"/>
      <c r="AG308" s="74"/>
    </row>
    <row r="309" spans="22:33" s="1" customFormat="1" x14ac:dyDescent="0.4">
      <c r="V309" s="74"/>
      <c r="W309" s="74"/>
      <c r="X309" s="74"/>
      <c r="Y309" s="74"/>
      <c r="Z309" s="74"/>
      <c r="AA309" s="74"/>
      <c r="AB309" s="74"/>
      <c r="AC309" s="74"/>
      <c r="AD309" s="74"/>
      <c r="AE309" s="74"/>
      <c r="AF309" s="74"/>
      <c r="AG309" s="74"/>
    </row>
    <row r="310" spans="22:33" s="1" customFormat="1" x14ac:dyDescent="0.4">
      <c r="V310" s="74"/>
      <c r="W310" s="74"/>
      <c r="X310" s="74"/>
      <c r="Y310" s="74"/>
      <c r="Z310" s="74"/>
      <c r="AA310" s="74"/>
      <c r="AB310" s="74"/>
      <c r="AC310" s="74"/>
      <c r="AD310" s="74"/>
      <c r="AE310" s="74"/>
      <c r="AF310" s="74"/>
      <c r="AG310" s="74"/>
    </row>
    <row r="311" spans="22:33" s="1" customFormat="1" x14ac:dyDescent="0.4">
      <c r="V311" s="74"/>
      <c r="W311" s="74"/>
      <c r="X311" s="74"/>
      <c r="Y311" s="74"/>
      <c r="Z311" s="74"/>
      <c r="AA311" s="74"/>
      <c r="AB311" s="74"/>
      <c r="AC311" s="74"/>
      <c r="AD311" s="74"/>
      <c r="AE311" s="74"/>
      <c r="AF311" s="74"/>
      <c r="AG311" s="74"/>
    </row>
    <row r="312" spans="22:33" s="1" customFormat="1" x14ac:dyDescent="0.4">
      <c r="V312" s="74"/>
      <c r="W312" s="74"/>
      <c r="X312" s="74"/>
      <c r="Y312" s="74"/>
      <c r="Z312" s="74"/>
      <c r="AA312" s="74"/>
      <c r="AB312" s="74"/>
      <c r="AC312" s="74"/>
      <c r="AD312" s="74"/>
      <c r="AE312" s="74"/>
      <c r="AF312" s="74"/>
      <c r="AG312" s="74"/>
    </row>
    <row r="313" spans="22:33" s="1" customFormat="1" x14ac:dyDescent="0.4">
      <c r="V313" s="74"/>
      <c r="W313" s="74"/>
      <c r="X313" s="74"/>
      <c r="Y313" s="74"/>
      <c r="Z313" s="74"/>
      <c r="AA313" s="74"/>
      <c r="AB313" s="74"/>
      <c r="AC313" s="74"/>
      <c r="AD313" s="74"/>
      <c r="AE313" s="74"/>
      <c r="AF313" s="74"/>
      <c r="AG313" s="74"/>
    </row>
    <row r="314" spans="22:33" s="1" customFormat="1" x14ac:dyDescent="0.4">
      <c r="V314" s="74"/>
      <c r="W314" s="74"/>
      <c r="X314" s="74"/>
      <c r="Y314" s="74"/>
      <c r="Z314" s="74"/>
      <c r="AA314" s="74"/>
      <c r="AB314" s="74"/>
      <c r="AC314" s="74"/>
      <c r="AD314" s="74"/>
      <c r="AE314" s="74"/>
      <c r="AF314" s="74"/>
      <c r="AG314" s="74"/>
    </row>
    <row r="315" spans="22:33" s="1" customFormat="1" x14ac:dyDescent="0.4">
      <c r="V315" s="74"/>
      <c r="W315" s="74"/>
      <c r="X315" s="74"/>
      <c r="Y315" s="74"/>
      <c r="Z315" s="74"/>
      <c r="AA315" s="74"/>
      <c r="AB315" s="74"/>
      <c r="AC315" s="74"/>
      <c r="AD315" s="74"/>
      <c r="AE315" s="74"/>
      <c r="AF315" s="74"/>
      <c r="AG315" s="74"/>
    </row>
    <row r="316" spans="22:33" s="1" customFormat="1" x14ac:dyDescent="0.4">
      <c r="V316" s="74"/>
      <c r="W316" s="74"/>
      <c r="X316" s="74"/>
      <c r="Y316" s="74"/>
      <c r="Z316" s="74"/>
      <c r="AA316" s="74"/>
      <c r="AB316" s="74"/>
      <c r="AC316" s="74"/>
      <c r="AD316" s="74"/>
      <c r="AE316" s="74"/>
      <c r="AF316" s="74"/>
      <c r="AG316" s="74"/>
    </row>
    <row r="317" spans="22:33" s="1" customFormat="1" x14ac:dyDescent="0.4">
      <c r="V317" s="74"/>
      <c r="W317" s="74"/>
      <c r="X317" s="74"/>
      <c r="Y317" s="74"/>
      <c r="Z317" s="74"/>
      <c r="AA317" s="74"/>
      <c r="AB317" s="74"/>
      <c r="AC317" s="74"/>
      <c r="AD317" s="74"/>
      <c r="AE317" s="74"/>
      <c r="AF317" s="74"/>
      <c r="AG317" s="74"/>
    </row>
    <row r="318" spans="22:33" s="1" customFormat="1" x14ac:dyDescent="0.4">
      <c r="V318" s="74"/>
      <c r="W318" s="74"/>
      <c r="X318" s="74"/>
      <c r="Y318" s="74"/>
      <c r="Z318" s="74"/>
      <c r="AA318" s="74"/>
      <c r="AB318" s="74"/>
      <c r="AC318" s="74"/>
      <c r="AD318" s="74"/>
      <c r="AE318" s="74"/>
      <c r="AF318" s="74"/>
      <c r="AG318" s="74"/>
    </row>
    <row r="319" spans="22:33" s="1" customFormat="1" x14ac:dyDescent="0.4">
      <c r="V319" s="74"/>
      <c r="W319" s="74"/>
      <c r="X319" s="74"/>
      <c r="Y319" s="74"/>
      <c r="Z319" s="74"/>
      <c r="AA319" s="74"/>
      <c r="AB319" s="74"/>
      <c r="AC319" s="74"/>
      <c r="AD319" s="74"/>
      <c r="AE319" s="74"/>
      <c r="AF319" s="74"/>
      <c r="AG319" s="74"/>
    </row>
    <row r="320" spans="22:33" s="1" customFormat="1" x14ac:dyDescent="0.4">
      <c r="V320" s="74"/>
      <c r="W320" s="74"/>
      <c r="X320" s="74"/>
      <c r="Y320" s="74"/>
      <c r="Z320" s="74"/>
      <c r="AA320" s="74"/>
      <c r="AB320" s="74"/>
      <c r="AC320" s="74"/>
      <c r="AD320" s="74"/>
      <c r="AE320" s="74"/>
      <c r="AF320" s="74"/>
      <c r="AG320" s="74"/>
    </row>
    <row r="321" spans="22:33" s="1" customFormat="1" x14ac:dyDescent="0.4">
      <c r="V321" s="74"/>
      <c r="W321" s="74"/>
      <c r="X321" s="74"/>
      <c r="Y321" s="74"/>
      <c r="Z321" s="74"/>
      <c r="AA321" s="74"/>
      <c r="AB321" s="74"/>
      <c r="AC321" s="74"/>
      <c r="AD321" s="74"/>
      <c r="AE321" s="74"/>
      <c r="AF321" s="74"/>
      <c r="AG321" s="74"/>
    </row>
    <row r="322" spans="22:33" s="1" customFormat="1" x14ac:dyDescent="0.4">
      <c r="V322" s="74"/>
      <c r="W322" s="74"/>
      <c r="X322" s="74"/>
      <c r="Y322" s="74"/>
      <c r="Z322" s="74"/>
      <c r="AA322" s="74"/>
      <c r="AB322" s="74"/>
      <c r="AC322" s="74"/>
      <c r="AD322" s="74"/>
      <c r="AE322" s="74"/>
      <c r="AF322" s="74"/>
      <c r="AG322" s="74"/>
    </row>
    <row r="323" spans="22:33" s="1" customFormat="1" x14ac:dyDescent="0.4">
      <c r="V323" s="74"/>
      <c r="W323" s="74"/>
      <c r="X323" s="74"/>
      <c r="Y323" s="74"/>
      <c r="Z323" s="74"/>
      <c r="AA323" s="74"/>
      <c r="AB323" s="74"/>
      <c r="AC323" s="74"/>
      <c r="AD323" s="74"/>
      <c r="AE323" s="74"/>
      <c r="AF323" s="74"/>
      <c r="AG323" s="74"/>
    </row>
    <row r="324" spans="22:33" s="1" customFormat="1" x14ac:dyDescent="0.4">
      <c r="V324" s="74"/>
      <c r="W324" s="74"/>
      <c r="X324" s="74"/>
      <c r="Y324" s="74"/>
      <c r="Z324" s="74"/>
      <c r="AA324" s="74"/>
      <c r="AB324" s="74"/>
      <c r="AC324" s="74"/>
      <c r="AD324" s="74"/>
      <c r="AE324" s="74"/>
      <c r="AF324" s="74"/>
      <c r="AG324" s="74"/>
    </row>
    <row r="325" spans="22:33" s="1" customFormat="1" x14ac:dyDescent="0.4">
      <c r="V325" s="74"/>
      <c r="W325" s="74"/>
      <c r="X325" s="74"/>
      <c r="Y325" s="74"/>
      <c r="Z325" s="74"/>
      <c r="AA325" s="74"/>
      <c r="AB325" s="74"/>
      <c r="AC325" s="74"/>
      <c r="AD325" s="74"/>
      <c r="AE325" s="74"/>
      <c r="AF325" s="74"/>
      <c r="AG325" s="74"/>
    </row>
    <row r="326" spans="22:33" s="1" customFormat="1" x14ac:dyDescent="0.4">
      <c r="V326" s="74"/>
      <c r="W326" s="74"/>
      <c r="X326" s="74"/>
      <c r="Y326" s="74"/>
      <c r="Z326" s="74"/>
      <c r="AA326" s="74"/>
      <c r="AB326" s="74"/>
      <c r="AC326" s="74"/>
      <c r="AD326" s="74"/>
      <c r="AE326" s="74"/>
      <c r="AF326" s="74"/>
      <c r="AG326" s="74"/>
    </row>
    <row r="327" spans="22:33" s="1" customFormat="1" x14ac:dyDescent="0.4">
      <c r="V327" s="74"/>
      <c r="W327" s="74"/>
      <c r="X327" s="74"/>
      <c r="Y327" s="74"/>
      <c r="Z327" s="74"/>
      <c r="AA327" s="74"/>
      <c r="AB327" s="74"/>
      <c r="AC327" s="74"/>
      <c r="AD327" s="74"/>
      <c r="AE327" s="74"/>
      <c r="AF327" s="74"/>
      <c r="AG327" s="74"/>
    </row>
    <row r="328" spans="22:33" s="1" customFormat="1" x14ac:dyDescent="0.4">
      <c r="V328" s="74"/>
      <c r="W328" s="74"/>
      <c r="X328" s="74"/>
      <c r="Y328" s="74"/>
      <c r="Z328" s="74"/>
      <c r="AA328" s="74"/>
      <c r="AB328" s="74"/>
      <c r="AC328" s="74"/>
      <c r="AD328" s="74"/>
      <c r="AE328" s="74"/>
      <c r="AF328" s="74"/>
      <c r="AG328" s="74"/>
    </row>
    <row r="329" spans="22:33" s="1" customFormat="1" x14ac:dyDescent="0.4">
      <c r="V329" s="74"/>
      <c r="W329" s="74"/>
      <c r="X329" s="74"/>
      <c r="Y329" s="74"/>
      <c r="Z329" s="74"/>
      <c r="AA329" s="74"/>
      <c r="AB329" s="74"/>
      <c r="AC329" s="74"/>
      <c r="AD329" s="74"/>
      <c r="AE329" s="74"/>
      <c r="AF329" s="74"/>
      <c r="AG329" s="74"/>
    </row>
    <row r="330" spans="22:33" s="1" customFormat="1" x14ac:dyDescent="0.4">
      <c r="V330" s="74"/>
      <c r="W330" s="74"/>
      <c r="X330" s="74"/>
      <c r="Y330" s="74"/>
      <c r="Z330" s="74"/>
      <c r="AA330" s="74"/>
      <c r="AB330" s="74"/>
      <c r="AC330" s="74"/>
      <c r="AD330" s="74"/>
      <c r="AE330" s="74"/>
      <c r="AF330" s="74"/>
      <c r="AG330" s="74"/>
    </row>
    <row r="331" spans="22:33" s="1" customFormat="1" x14ac:dyDescent="0.4">
      <c r="V331" s="74"/>
      <c r="W331" s="74"/>
      <c r="X331" s="74"/>
      <c r="Y331" s="74"/>
      <c r="Z331" s="74"/>
      <c r="AA331" s="74"/>
      <c r="AB331" s="74"/>
      <c r="AC331" s="74"/>
      <c r="AD331" s="74"/>
      <c r="AE331" s="74"/>
      <c r="AF331" s="74"/>
      <c r="AG331" s="74"/>
    </row>
    <row r="332" spans="22:33" s="1" customFormat="1" x14ac:dyDescent="0.4">
      <c r="V332" s="74"/>
      <c r="W332" s="74"/>
      <c r="X332" s="74"/>
      <c r="Y332" s="74"/>
      <c r="Z332" s="74"/>
      <c r="AA332" s="74"/>
      <c r="AB332" s="74"/>
      <c r="AC332" s="74"/>
      <c r="AD332" s="74"/>
      <c r="AE332" s="74"/>
      <c r="AF332" s="74"/>
      <c r="AG332" s="74"/>
    </row>
    <row r="333" spans="22:33" s="1" customFormat="1" x14ac:dyDescent="0.4">
      <c r="V333" s="74"/>
      <c r="W333" s="74"/>
      <c r="X333" s="74"/>
      <c r="Y333" s="74"/>
      <c r="Z333" s="74"/>
      <c r="AA333" s="74"/>
      <c r="AB333" s="74"/>
      <c r="AC333" s="74"/>
      <c r="AD333" s="74"/>
      <c r="AE333" s="74"/>
      <c r="AF333" s="74"/>
      <c r="AG333" s="74"/>
    </row>
    <row r="334" spans="22:33" s="1" customFormat="1" x14ac:dyDescent="0.4">
      <c r="V334" s="74"/>
      <c r="W334" s="74"/>
      <c r="X334" s="74"/>
      <c r="Y334" s="74"/>
      <c r="Z334" s="74"/>
      <c r="AA334" s="74"/>
      <c r="AB334" s="74"/>
      <c r="AC334" s="74"/>
      <c r="AD334" s="74"/>
      <c r="AE334" s="74"/>
      <c r="AF334" s="74"/>
      <c r="AG334" s="74"/>
    </row>
    <row r="335" spans="22:33" s="1" customFormat="1" x14ac:dyDescent="0.4">
      <c r="V335" s="74"/>
      <c r="W335" s="74"/>
      <c r="X335" s="74"/>
      <c r="Y335" s="74"/>
      <c r="Z335" s="74"/>
      <c r="AA335" s="74"/>
      <c r="AB335" s="74"/>
      <c r="AC335" s="74"/>
      <c r="AD335" s="74"/>
      <c r="AE335" s="74"/>
      <c r="AF335" s="74"/>
      <c r="AG335" s="74"/>
    </row>
    <row r="336" spans="22:33" s="1" customFormat="1" x14ac:dyDescent="0.4">
      <c r="V336" s="74"/>
      <c r="W336" s="74"/>
      <c r="X336" s="74"/>
      <c r="Y336" s="74"/>
      <c r="Z336" s="74"/>
      <c r="AA336" s="74"/>
      <c r="AB336" s="74"/>
      <c r="AC336" s="74"/>
      <c r="AD336" s="74"/>
      <c r="AE336" s="74"/>
      <c r="AF336" s="74"/>
      <c r="AG336" s="74"/>
    </row>
    <row r="337" spans="22:33" s="1" customFormat="1" x14ac:dyDescent="0.4">
      <c r="V337" s="74"/>
      <c r="W337" s="74"/>
      <c r="X337" s="74"/>
      <c r="Y337" s="74"/>
      <c r="Z337" s="74"/>
      <c r="AA337" s="74"/>
      <c r="AB337" s="74"/>
      <c r="AC337" s="74"/>
      <c r="AD337" s="74"/>
      <c r="AE337" s="74"/>
      <c r="AF337" s="74"/>
      <c r="AG337" s="74"/>
    </row>
    <row r="338" spans="22:33" s="1" customFormat="1" x14ac:dyDescent="0.4">
      <c r="V338" s="74"/>
      <c r="W338" s="74"/>
      <c r="X338" s="74"/>
      <c r="Y338" s="74"/>
      <c r="Z338" s="74"/>
      <c r="AA338" s="74"/>
      <c r="AB338" s="74"/>
      <c r="AC338" s="74"/>
      <c r="AD338" s="74"/>
      <c r="AE338" s="74"/>
      <c r="AF338" s="74"/>
      <c r="AG338" s="74"/>
    </row>
    <row r="339" spans="22:33" s="1" customFormat="1" x14ac:dyDescent="0.4">
      <c r="V339" s="74"/>
      <c r="W339" s="74"/>
      <c r="X339" s="74"/>
      <c r="Y339" s="74"/>
      <c r="Z339" s="74"/>
      <c r="AA339" s="74"/>
      <c r="AB339" s="74"/>
      <c r="AC339" s="74"/>
      <c r="AD339" s="74"/>
      <c r="AE339" s="74"/>
      <c r="AF339" s="74"/>
      <c r="AG339" s="74"/>
    </row>
    <row r="340" spans="22:33" s="1" customFormat="1" x14ac:dyDescent="0.4"/>
    <row r="341" spans="22:33" s="1" customFormat="1" x14ac:dyDescent="0.4"/>
    <row r="342" spans="22:33" s="1" customFormat="1" x14ac:dyDescent="0.4"/>
    <row r="343" spans="22:33" s="1" customFormat="1" x14ac:dyDescent="0.4"/>
    <row r="344" spans="22:33" s="1" customFormat="1" x14ac:dyDescent="0.4"/>
    <row r="345" spans="22:33" s="1" customFormat="1" x14ac:dyDescent="0.4"/>
  </sheetData>
  <mergeCells count="36">
    <mergeCell ref="I16:K16"/>
    <mergeCell ref="I17:K17"/>
    <mergeCell ref="I19:K19"/>
    <mergeCell ref="C61:J61"/>
    <mergeCell ref="C59:J59"/>
    <mergeCell ref="C45:J45"/>
    <mergeCell ref="D16:F16"/>
    <mergeCell ref="D17:F17"/>
    <mergeCell ref="D19:F19"/>
    <mergeCell ref="D20:F20"/>
    <mergeCell ref="I20:K20"/>
    <mergeCell ref="D18:F18"/>
    <mergeCell ref="I18:K18"/>
    <mergeCell ref="B38:B44"/>
    <mergeCell ref="B51:B57"/>
    <mergeCell ref="C47:K47"/>
    <mergeCell ref="C48:K48"/>
    <mergeCell ref="C22:K22"/>
    <mergeCell ref="C35:K35"/>
    <mergeCell ref="C34:K34"/>
    <mergeCell ref="V2:AF2"/>
    <mergeCell ref="V7:AF7"/>
    <mergeCell ref="C2:K2"/>
    <mergeCell ref="C3:K3"/>
    <mergeCell ref="D15:F15"/>
    <mergeCell ref="C5:K5"/>
    <mergeCell ref="C6:K6"/>
    <mergeCell ref="C8:K8"/>
    <mergeCell ref="I15:K15"/>
    <mergeCell ref="C7:K7"/>
    <mergeCell ref="C10:K10"/>
    <mergeCell ref="C12:K12"/>
    <mergeCell ref="I14:K14"/>
    <mergeCell ref="C14:F14"/>
    <mergeCell ref="C9:K9"/>
    <mergeCell ref="C11:K11"/>
  </mergeCells>
  <dataValidations count="2">
    <dataValidation type="list" allowBlank="1" showInputMessage="1" showErrorMessage="1" sqref="D25:K25" xr:uid="{00000000-0002-0000-0000-000000000000}">
      <formula1>$V$4:$V$6</formula1>
    </dataValidation>
    <dataValidation type="list" allowBlank="1" showInputMessage="1" showErrorMessage="1" sqref="G20" xr:uid="{00000000-0002-0000-0000-000001000000}">
      <formula1>$AG$2:$AG$3</formula1>
    </dataValidation>
  </dataValidations>
  <pageMargins left="0.2" right="0.2" top="0.25" bottom="0.25" header="0" footer="0"/>
  <pageSetup scale="90" orientation="portrait" r:id="rId1"/>
  <ignoredErrors>
    <ignoredError sqref="G1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4B53A"/>
  </sheetPr>
  <dimension ref="A1:AD1102"/>
  <sheetViews>
    <sheetView workbookViewId="0">
      <selection activeCell="C15" sqref="C15"/>
    </sheetView>
  </sheetViews>
  <sheetFormatPr defaultRowHeight="14.6" x14ac:dyDescent="0.4"/>
  <cols>
    <col min="1" max="1" width="9.53515625" bestFit="1" customWidth="1"/>
    <col min="2" max="8" width="15.69140625" customWidth="1"/>
    <col min="9" max="9" width="18.3828125" style="21" customWidth="1"/>
    <col min="10" max="10" width="15.69140625" style="21" customWidth="1"/>
    <col min="11" max="13" width="15.69140625" customWidth="1"/>
    <col min="14" max="15" width="15.69140625" style="36" customWidth="1"/>
    <col min="16" max="30" width="8.84375" style="36"/>
  </cols>
  <sheetData>
    <row r="1" spans="1:14" ht="20.6" x14ac:dyDescent="0.4">
      <c r="A1" s="18" t="s">
        <v>30</v>
      </c>
      <c r="B1" s="39" t="str">
        <f>Summary!D24</f>
        <v>EXAMPLE SITE 1</v>
      </c>
      <c r="C1" s="19"/>
      <c r="D1" s="19"/>
      <c r="E1" s="19"/>
      <c r="F1" s="19"/>
      <c r="G1" s="19"/>
      <c r="H1" s="19"/>
      <c r="I1" s="19"/>
      <c r="J1" s="19"/>
      <c r="K1" s="19"/>
      <c r="L1" s="20"/>
      <c r="M1" s="20"/>
      <c r="N1" s="20"/>
    </row>
    <row r="2" spans="1:14" ht="58.3" x14ac:dyDescent="0.4">
      <c r="A2" s="40"/>
      <c r="B2" s="40" t="s">
        <v>45</v>
      </c>
      <c r="C2" s="53" t="s">
        <v>38</v>
      </c>
      <c r="D2" s="53" t="s">
        <v>32</v>
      </c>
      <c r="E2" s="54" t="s">
        <v>46</v>
      </c>
      <c r="F2" s="54" t="s">
        <v>39</v>
      </c>
      <c r="G2" s="55" t="s">
        <v>155</v>
      </c>
      <c r="H2" s="55" t="s">
        <v>156</v>
      </c>
      <c r="I2" s="55" t="s">
        <v>114</v>
      </c>
      <c r="J2" s="40" t="s">
        <v>47</v>
      </c>
      <c r="K2" s="40" t="s">
        <v>33</v>
      </c>
      <c r="L2" s="40" t="s">
        <v>34</v>
      </c>
      <c r="M2" s="40" t="s">
        <v>35</v>
      </c>
      <c r="N2" s="40" t="s">
        <v>36</v>
      </c>
    </row>
    <row r="3" spans="1:14" x14ac:dyDescent="0.4">
      <c r="A3" s="23">
        <v>1</v>
      </c>
      <c r="B3" s="42">
        <f>Summary!D27</f>
        <v>34466</v>
      </c>
      <c r="C3" s="25">
        <f>Summary!D28</f>
        <v>8.8300000000000003E-2</v>
      </c>
      <c r="D3" s="24">
        <f>B3*C3*-1</f>
        <v>-3043.3478</v>
      </c>
      <c r="E3" s="41">
        <f>VLOOKUP(Summary!D25,Summary!V4:AF6,11,FALSE)</f>
        <v>6.5761E-2</v>
      </c>
      <c r="F3" s="41">
        <f>B3*E3</f>
        <v>2266.518626</v>
      </c>
      <c r="G3" s="22">
        <f>IF(Summary!$D$26&lt;=40,Summary!$G$18,Summary!$G$17)</f>
        <v>0.08</v>
      </c>
      <c r="H3" s="24">
        <f t="shared" ref="H3:H32" si="0">G3*B3</f>
        <v>2757.28</v>
      </c>
      <c r="I3" s="24">
        <f>IFERROR('Demand Charge Calculations'!B52,0)</f>
        <v>0</v>
      </c>
      <c r="J3" s="24">
        <f t="shared" ref="J3:J32" si="1">D3*-1-H3</f>
        <v>286.06779999999981</v>
      </c>
      <c r="K3" s="24">
        <f>F3+D3+H3+I3</f>
        <v>1980.4508260000002</v>
      </c>
      <c r="L3" s="24">
        <f>K3</f>
        <v>1980.4508260000002</v>
      </c>
      <c r="M3" s="24">
        <f>K3/(1+Summary!$G$16)^($A3-1)</f>
        <v>1980.4508260000002</v>
      </c>
      <c r="N3" s="24">
        <f>M3</f>
        <v>1980.4508260000002</v>
      </c>
    </row>
    <row r="4" spans="1:14" x14ac:dyDescent="0.4">
      <c r="A4" s="23">
        <v>2</v>
      </c>
      <c r="B4" s="42">
        <f>B3*(1-Summary!$G$19)</f>
        <v>34293.67</v>
      </c>
      <c r="C4" s="25">
        <f>IF(A4&gt;Summary!$D$31,0,(C3*(1+Summary!$D$29)))</f>
        <v>9.2273499999999994E-2</v>
      </c>
      <c r="D4" s="24">
        <f t="shared" ref="D4:D27" si="2">B4*C4*-1</f>
        <v>-3164.3969587449997</v>
      </c>
      <c r="E4" s="41">
        <f>E3*(1+Summary!$G$15)</f>
        <v>6.7451057699999997E-2</v>
      </c>
      <c r="F4" s="41">
        <f t="shared" ref="F4:F27" si="3">B4*E4</f>
        <v>2313.1443139147586</v>
      </c>
      <c r="G4" s="22">
        <f>IF(Summary!$D$26&lt;=40,Summary!$G$18,Summary!$G$17)</f>
        <v>0.08</v>
      </c>
      <c r="H4" s="24">
        <f t="shared" si="0"/>
        <v>2743.4935999999998</v>
      </c>
      <c r="I4" s="24">
        <f>I3*(1-Summary!$G$19)*(1+Summary!$G$15)</f>
        <v>0</v>
      </c>
      <c r="J4" s="24">
        <f t="shared" si="1"/>
        <v>420.90335874499988</v>
      </c>
      <c r="K4" s="24">
        <f t="shared" ref="K4:K32" si="4">F4+D4+H4+I4</f>
        <v>1892.2409551697588</v>
      </c>
      <c r="L4" s="24">
        <f>L3+K4</f>
        <v>3872.691781169759</v>
      </c>
      <c r="M4" s="24">
        <f>K4/(1+Summary!$G$16)^($A4-1)</f>
        <v>1837.1271409415133</v>
      </c>
      <c r="N4" s="24">
        <f>M4+N3</f>
        <v>3817.5779669415133</v>
      </c>
    </row>
    <row r="5" spans="1:14" x14ac:dyDescent="0.4">
      <c r="A5" s="23">
        <v>3</v>
      </c>
      <c r="B5" s="42">
        <f>B4*(1-Summary!$G$19)</f>
        <v>34122.201649999995</v>
      </c>
      <c r="C5" s="25">
        <f>IF(A5&gt;Summary!$D$31,0,(C4*(1+Summary!$D$29)))</f>
        <v>9.6425807499999988E-2</v>
      </c>
      <c r="D5" s="24">
        <f t="shared" si="2"/>
        <v>-3290.2608477790814</v>
      </c>
      <c r="E5" s="41">
        <f>E4*(1+Summary!$G$15)</f>
        <v>6.9184549882889995E-2</v>
      </c>
      <c r="F5" s="41">
        <f t="shared" si="3"/>
        <v>2360.7291621684558</v>
      </c>
      <c r="G5" s="22">
        <f>IF(Summary!$D$26&lt;=40,Summary!$G$18,Summary!$G$17)</f>
        <v>0.08</v>
      </c>
      <c r="H5" s="24">
        <f t="shared" si="0"/>
        <v>2729.7761319999995</v>
      </c>
      <c r="I5" s="24">
        <f>I4*(1-Summary!$G$19)*(1+Summary!$G$15)</f>
        <v>0</v>
      </c>
      <c r="J5" s="24">
        <f t="shared" si="1"/>
        <v>560.48471577908185</v>
      </c>
      <c r="K5" s="24">
        <f t="shared" si="4"/>
        <v>1800.2444463893739</v>
      </c>
      <c r="L5" s="24">
        <f>L4+K5</f>
        <v>5672.9362275591329</v>
      </c>
      <c r="M5" s="24">
        <f>K5/(1+Summary!$G$16)^($A5-1)</f>
        <v>1696.9030506073843</v>
      </c>
      <c r="N5" s="24">
        <f t="shared" ref="N5:N27" si="5">M5+N4</f>
        <v>5514.4810175488974</v>
      </c>
    </row>
    <row r="6" spans="1:14" x14ac:dyDescent="0.4">
      <c r="A6" s="23">
        <v>4</v>
      </c>
      <c r="B6" s="42">
        <f>B5*(1-Summary!$G$19)</f>
        <v>33951.590641749994</v>
      </c>
      <c r="C6" s="25">
        <f>IF(A6&gt;Summary!$D$31,0,(C5*(1+Summary!$D$29)))</f>
        <v>0.10076496883749998</v>
      </c>
      <c r="D6" s="24">
        <f t="shared" si="2"/>
        <v>-3421.1309729994941</v>
      </c>
      <c r="E6" s="41">
        <f>E5*(1+Summary!$G$15)</f>
        <v>7.0962592814880265E-2</v>
      </c>
      <c r="F6" s="41">
        <f t="shared" si="3"/>
        <v>2409.2929021280042</v>
      </c>
      <c r="G6" s="22">
        <f>IF(Summary!$D$26&lt;=40,Summary!$G$18,Summary!$G$17)</f>
        <v>0.08</v>
      </c>
      <c r="H6" s="24">
        <f t="shared" si="0"/>
        <v>2716.1272513399995</v>
      </c>
      <c r="I6" s="24">
        <f>I5*(1-Summary!$G$19)*(1+Summary!$G$15)</f>
        <v>0</v>
      </c>
      <c r="J6" s="24">
        <f t="shared" si="1"/>
        <v>705.00372165949466</v>
      </c>
      <c r="K6" s="24">
        <f t="shared" si="4"/>
        <v>1704.2891804685096</v>
      </c>
      <c r="L6" s="24">
        <f>L5+K6</f>
        <v>7377.2254080276425</v>
      </c>
      <c r="M6" s="24">
        <f>K6/(1+Summary!$G$16)^($A6-1)</f>
        <v>1559.6660286315882</v>
      </c>
      <c r="N6" s="24">
        <f t="shared" si="5"/>
        <v>7074.1470461804856</v>
      </c>
    </row>
    <row r="7" spans="1:14" x14ac:dyDescent="0.4">
      <c r="A7" s="78">
        <v>5</v>
      </c>
      <c r="B7" s="79">
        <f>B6*(1-Summary!$G$19)</f>
        <v>33781.832688541246</v>
      </c>
      <c r="C7" s="80">
        <f>IF(A7&gt;Summary!$D$31,0,(C6*(1+Summary!$D$29)))</f>
        <v>0.10529939243518747</v>
      </c>
      <c r="D7" s="81">
        <f t="shared" si="2"/>
        <v>-3557.2064574505489</v>
      </c>
      <c r="E7" s="82">
        <f>E6*(1+Summary!$G$15)</f>
        <v>7.2786331450222688E-2</v>
      </c>
      <c r="F7" s="82">
        <f t="shared" si="3"/>
        <v>2458.8556710641305</v>
      </c>
      <c r="G7" s="83">
        <f>IF(Summary!$D$26&lt;=40,Summary!$G$18,Summary!$G$17)</f>
        <v>0.08</v>
      </c>
      <c r="H7" s="81">
        <f t="shared" si="0"/>
        <v>2702.5466150832999</v>
      </c>
      <c r="I7" s="81">
        <f>I6*(1-Summary!$G$19)*(1+Summary!$G$15)</f>
        <v>0</v>
      </c>
      <c r="J7" s="81">
        <f t="shared" si="1"/>
        <v>854.65984236724898</v>
      </c>
      <c r="K7" s="81">
        <f t="shared" si="4"/>
        <v>1604.1958286968816</v>
      </c>
      <c r="L7" s="81">
        <f>L6+K7</f>
        <v>8981.4212367245236</v>
      </c>
      <c r="M7" s="46">
        <f>K7/(1+Summary!$G$16)^($A7-1)</f>
        <v>1425.3072161175546</v>
      </c>
      <c r="N7" s="46">
        <f t="shared" si="5"/>
        <v>8499.4542622980407</v>
      </c>
    </row>
    <row r="8" spans="1:14" x14ac:dyDescent="0.4">
      <c r="A8" s="23">
        <v>6</v>
      </c>
      <c r="B8" s="42">
        <f>B7*(1-Summary!$G$19)</f>
        <v>33612.923525098537</v>
      </c>
      <c r="C8" s="25">
        <f>IF(A8&gt;Summary!$D$31,0,(C7*(1+Summary!$D$29)))</f>
        <v>0.1100378650947709</v>
      </c>
      <c r="D8" s="24">
        <f t="shared" si="2"/>
        <v>-3698.694344295644</v>
      </c>
      <c r="E8" s="41">
        <f>E7*(1+Summary!$G$15)</f>
        <v>7.4656940168493419E-2</v>
      </c>
      <c r="F8" s="41">
        <f t="shared" si="3"/>
        <v>2509.4380205014263</v>
      </c>
      <c r="G8" s="22">
        <f>IF(Summary!$D$26&lt;=40,Summary!$G$18,Summary!$G$17)</f>
        <v>0.08</v>
      </c>
      <c r="H8" s="24">
        <f t="shared" si="0"/>
        <v>2689.0338820078828</v>
      </c>
      <c r="I8" s="24">
        <f>I7*(1-Summary!$G$19)*(1+Summary!$G$15)</f>
        <v>0</v>
      </c>
      <c r="J8" s="24">
        <f t="shared" si="1"/>
        <v>1009.6604622877612</v>
      </c>
      <c r="K8" s="24">
        <f t="shared" si="4"/>
        <v>1499.7775582136651</v>
      </c>
      <c r="L8" s="24">
        <f>L7+K8</f>
        <v>10481.198794938189</v>
      </c>
      <c r="M8" s="24">
        <f>K8/(1+Summary!$G$16)^($A8-1)</f>
        <v>1293.7212963373395</v>
      </c>
      <c r="N8" s="24">
        <f t="shared" si="5"/>
        <v>9793.1755586353793</v>
      </c>
    </row>
    <row r="9" spans="1:14" x14ac:dyDescent="0.4">
      <c r="A9" s="23">
        <v>7</v>
      </c>
      <c r="B9" s="42">
        <f>B8*(1-Summary!$G$19)</f>
        <v>33444.858907473041</v>
      </c>
      <c r="C9" s="25">
        <f>IF(A9&gt;Summary!$D$31,0,(C8*(1+Summary!$D$29)))</f>
        <v>0.11498956902403558</v>
      </c>
      <c r="D9" s="24">
        <f t="shared" si="2"/>
        <v>-3845.8099118400023</v>
      </c>
      <c r="E9" s="41">
        <f>E8*(1+Summary!$G$15)</f>
        <v>7.65756235308237E-2</v>
      </c>
      <c r="F9" s="41">
        <f t="shared" si="3"/>
        <v>2561.0609247401712</v>
      </c>
      <c r="G9" s="22">
        <f>IF(Summary!$D$26&lt;=40,Summary!$G$18,0)</f>
        <v>0.08</v>
      </c>
      <c r="H9" s="24">
        <f t="shared" si="0"/>
        <v>2675.5887125978434</v>
      </c>
      <c r="I9" s="24">
        <f>I8*(1-Summary!$G$19)*(1+Summary!$G$15)</f>
        <v>0</v>
      </c>
      <c r="J9" s="24">
        <f t="shared" si="1"/>
        <v>1170.2211992421589</v>
      </c>
      <c r="K9" s="24">
        <f t="shared" si="4"/>
        <v>1390.8397254980123</v>
      </c>
      <c r="L9" s="24">
        <f t="shared" ref="L9:L27" si="6">L8+K9</f>
        <v>11872.038520436201</v>
      </c>
      <c r="M9" s="24">
        <f>K9/(1+Summary!$G$16)^($A9-1)</f>
        <v>1164.8063736748009</v>
      </c>
      <c r="N9" s="24">
        <f t="shared" si="5"/>
        <v>10957.98193231018</v>
      </c>
    </row>
    <row r="10" spans="1:14" x14ac:dyDescent="0.4">
      <c r="A10" s="23">
        <v>8</v>
      </c>
      <c r="B10" s="42">
        <f>B9*(1-Summary!$G$19)</f>
        <v>33277.634612935675</v>
      </c>
      <c r="C10" s="25">
        <f>IF(A10&gt;Summary!$D$31,0,(C9*(1+Summary!$D$29)))</f>
        <v>0.12016409963011718</v>
      </c>
      <c r="D10" s="24">
        <f t="shared" si="2"/>
        <v>-3998.7770010834383</v>
      </c>
      <c r="E10" s="41">
        <f>E9*(1+Summary!$G$15)</f>
        <v>7.8543617055565867E-2</v>
      </c>
      <c r="F10" s="41">
        <f t="shared" si="3"/>
        <v>2613.7457895534635</v>
      </c>
      <c r="G10" s="22">
        <f>IF(Summary!$D$26&lt;=40,Summary!$G$18,0)</f>
        <v>0.08</v>
      </c>
      <c r="H10" s="24">
        <f t="shared" si="0"/>
        <v>2662.2107690348539</v>
      </c>
      <c r="I10" s="24">
        <f>I9*(1-Summary!$G$19)*(1+Summary!$G$15)</f>
        <v>0</v>
      </c>
      <c r="J10" s="24">
        <f t="shared" si="1"/>
        <v>1336.5662320485844</v>
      </c>
      <c r="K10" s="24">
        <f t="shared" si="4"/>
        <v>1277.1795575048791</v>
      </c>
      <c r="L10" s="24">
        <f t="shared" si="6"/>
        <v>13149.218077941081</v>
      </c>
      <c r="M10" s="24">
        <f>K10/(1+Summary!$G$16)^($A10-1)</f>
        <v>1038.463856668478</v>
      </c>
      <c r="N10" s="24">
        <f t="shared" si="5"/>
        <v>11996.445788978657</v>
      </c>
    </row>
    <row r="11" spans="1:14" x14ac:dyDescent="0.4">
      <c r="A11" s="23">
        <v>9</v>
      </c>
      <c r="B11" s="42">
        <f>B10*(1-Summary!$G$19)</f>
        <v>33111.246439871</v>
      </c>
      <c r="C11" s="25">
        <f>IF(A11&gt;Summary!$D$31,0,(C10*(1+Summary!$D$29)))</f>
        <v>0.12557148411347244</v>
      </c>
      <c r="D11" s="24">
        <f t="shared" si="2"/>
        <v>-4157.828356301532</v>
      </c>
      <c r="E11" s="41">
        <f>E10*(1+Summary!$G$15)</f>
        <v>8.0562188013893921E-2</v>
      </c>
      <c r="F11" s="41">
        <f t="shared" si="3"/>
        <v>2667.5144610632633</v>
      </c>
      <c r="G11" s="22">
        <f>IF(Summary!$D$26&lt;=40,Summary!$G$18,0)</f>
        <v>0.08</v>
      </c>
      <c r="H11" s="24">
        <f t="shared" si="0"/>
        <v>2648.8997151896801</v>
      </c>
      <c r="I11" s="24">
        <f>I10*(1-Summary!$G$19)*(1+Summary!$G$15)</f>
        <v>0</v>
      </c>
      <c r="J11" s="24">
        <f t="shared" si="1"/>
        <v>1508.9286411118519</v>
      </c>
      <c r="K11" s="24">
        <f t="shared" si="4"/>
        <v>1158.5858199514114</v>
      </c>
      <c r="L11" s="24">
        <f t="shared" si="6"/>
        <v>14307.803897892492</v>
      </c>
      <c r="M11" s="24">
        <f>K11/(1+Summary!$G$16)^($A11-1)</f>
        <v>914.59834501482715</v>
      </c>
      <c r="N11" s="24">
        <f t="shared" si="5"/>
        <v>12911.044133993484</v>
      </c>
    </row>
    <row r="12" spans="1:14" x14ac:dyDescent="0.4">
      <c r="A12" s="43">
        <v>10</v>
      </c>
      <c r="B12" s="44">
        <f>B11*(1-Summary!$G$19)</f>
        <v>32945.690207671643</v>
      </c>
      <c r="C12" s="45">
        <f>IF(A12&gt;Summary!$D$31,0,(C11*(1+Summary!$D$29)))</f>
        <v>0.13122220089857869</v>
      </c>
      <c r="D12" s="46">
        <f t="shared" si="2"/>
        <v>-4323.2059791734255</v>
      </c>
      <c r="E12" s="47">
        <f>E11*(1+Summary!$G$15)</f>
        <v>8.2632636245851002E-2</v>
      </c>
      <c r="F12" s="47">
        <f t="shared" si="3"/>
        <v>2722.3892347990263</v>
      </c>
      <c r="G12" s="83">
        <f>IF(Summary!$D$26&lt;=40,Summary!$G$18,0)</f>
        <v>0.08</v>
      </c>
      <c r="H12" s="46">
        <f t="shared" si="0"/>
        <v>2635.6552166137317</v>
      </c>
      <c r="I12" s="46">
        <f>I11*(1-Summary!$G$19)*(1+Summary!$G$15)</f>
        <v>0</v>
      </c>
      <c r="J12" s="46">
        <f t="shared" si="1"/>
        <v>1687.5507625596938</v>
      </c>
      <c r="K12" s="81">
        <f t="shared" si="4"/>
        <v>1034.8384722393325</v>
      </c>
      <c r="L12" s="46">
        <f t="shared" si="6"/>
        <v>15342.642370131825</v>
      </c>
      <c r="M12" s="46">
        <f>K12/(1+Summary!$G$16)^($A12-1)</f>
        <v>793.11752039714031</v>
      </c>
      <c r="N12" s="46">
        <f t="shared" si="5"/>
        <v>13704.161654390624</v>
      </c>
    </row>
    <row r="13" spans="1:14" x14ac:dyDescent="0.4">
      <c r="A13" s="23">
        <v>11</v>
      </c>
      <c r="B13" s="42">
        <f>B12*(1-Summary!$G$19)</f>
        <v>32780.961756633282</v>
      </c>
      <c r="C13" s="25">
        <f>IF(A13&gt;Summary!$D$31,0,(C12*(1+Summary!$D$29)))</f>
        <v>0.13712719993901473</v>
      </c>
      <c r="D13" s="24">
        <f t="shared" si="2"/>
        <v>-4495.1614969950479</v>
      </c>
      <c r="E13" s="41">
        <f>E12*(1+Summary!$G$15)</f>
        <v>8.4756294997369377E-2</v>
      </c>
      <c r="F13" s="41">
        <f t="shared" si="3"/>
        <v>2778.3928649426944</v>
      </c>
      <c r="G13" s="22"/>
      <c r="H13" s="24">
        <f t="shared" si="0"/>
        <v>0</v>
      </c>
      <c r="I13" s="24">
        <f>I12*(1-Summary!$G$19)*(1+Summary!$G$15)</f>
        <v>0</v>
      </c>
      <c r="J13" s="24">
        <f t="shared" si="1"/>
        <v>4495.1614969950479</v>
      </c>
      <c r="K13" s="24">
        <f t="shared" si="4"/>
        <v>-1716.7686320523535</v>
      </c>
      <c r="L13" s="24">
        <f t="shared" si="6"/>
        <v>13625.873738079472</v>
      </c>
      <c r="M13" s="24">
        <f>K13/(1+Summary!$G$16)^($A13-1)</f>
        <v>-1277.4370923957313</v>
      </c>
      <c r="N13" s="24">
        <f t="shared" si="5"/>
        <v>12426.724561994892</v>
      </c>
    </row>
    <row r="14" spans="1:14" x14ac:dyDescent="0.4">
      <c r="A14" s="23">
        <v>12</v>
      </c>
      <c r="B14" s="42">
        <f>B13*(1-Summary!$G$19)</f>
        <v>32617.056947850117</v>
      </c>
      <c r="C14" s="25">
        <f>IF(A14&gt;Summary!$D$31,0,(C13*(1+Summary!$D$29)))</f>
        <v>0.14329792393627039</v>
      </c>
      <c r="D14" s="24">
        <f t="shared" si="2"/>
        <v>-4673.9565455380252</v>
      </c>
      <c r="E14" s="41">
        <f>E13*(1+Summary!$G$15)</f>
        <v>8.6934531778801769E-2</v>
      </c>
      <c r="F14" s="41">
        <f t="shared" si="3"/>
        <v>2835.5485737638628</v>
      </c>
      <c r="G14" s="22"/>
      <c r="H14" s="24">
        <f t="shared" si="0"/>
        <v>0</v>
      </c>
      <c r="I14" s="24">
        <f>I13*(1-Summary!$G$19)*(1+Summary!$G$15)</f>
        <v>0</v>
      </c>
      <c r="J14" s="24">
        <f t="shared" si="1"/>
        <v>4673.9565455380252</v>
      </c>
      <c r="K14" s="24">
        <f t="shared" si="4"/>
        <v>-1838.4079717741624</v>
      </c>
      <c r="L14" s="24">
        <f t="shared" si="6"/>
        <v>11787.465766305309</v>
      </c>
      <c r="M14" s="24">
        <f>K14/(1+Summary!$G$16)^($A14-1)</f>
        <v>-1328.1050338784319</v>
      </c>
      <c r="N14" s="24">
        <f t="shared" si="5"/>
        <v>11098.61952811646</v>
      </c>
    </row>
    <row r="15" spans="1:14" x14ac:dyDescent="0.4">
      <c r="A15" s="23">
        <v>13</v>
      </c>
      <c r="B15" s="42">
        <f>B14*(1-Summary!$G$19)</f>
        <v>32453.971663110864</v>
      </c>
      <c r="C15" s="25">
        <f>IF(A15&gt;Summary!$D$31,0,(C14*(1+Summary!$D$29)))</f>
        <v>0.14974633051340255</v>
      </c>
      <c r="D15" s="24">
        <f t="shared" si="2"/>
        <v>-4859.8631671368003</v>
      </c>
      <c r="E15" s="41">
        <f>E14*(1+Summary!$G$15)</f>
        <v>8.9168749245516973E-2</v>
      </c>
      <c r="F15" s="41">
        <f t="shared" si="3"/>
        <v>2893.8800612490459</v>
      </c>
      <c r="G15" s="22"/>
      <c r="H15" s="24">
        <f t="shared" si="0"/>
        <v>0</v>
      </c>
      <c r="I15" s="24">
        <f>I14*(1-Summary!$G$19)*(1+Summary!$G$15)</f>
        <v>0</v>
      </c>
      <c r="J15" s="24">
        <f t="shared" si="1"/>
        <v>4859.8631671368003</v>
      </c>
      <c r="K15" s="24">
        <f t="shared" si="4"/>
        <v>-1965.9831058877544</v>
      </c>
      <c r="L15" s="24">
        <f t="shared" si="6"/>
        <v>9821.4826604175541</v>
      </c>
      <c r="M15" s="24">
        <f>K15/(1+Summary!$G$16)^($A15-1)</f>
        <v>-1378.9009952689626</v>
      </c>
      <c r="N15" s="24">
        <f t="shared" si="5"/>
        <v>9719.718532847497</v>
      </c>
    </row>
    <row r="16" spans="1:14" x14ac:dyDescent="0.4">
      <c r="A16" s="23">
        <v>14</v>
      </c>
      <c r="B16" s="42">
        <f>B15*(1-Summary!$G$19)</f>
        <v>32291.70180479531</v>
      </c>
      <c r="C16" s="25">
        <f>IF(A16&gt;Summary!$D$31,0,(C15*(1+Summary!$D$29)))</f>
        <v>0</v>
      </c>
      <c r="D16" s="24">
        <f t="shared" si="2"/>
        <v>0</v>
      </c>
      <c r="E16" s="41">
        <f>E15*(1+Summary!$G$15)</f>
        <v>9.1460386101126764E-2</v>
      </c>
      <c r="F16" s="41">
        <f t="shared" si="3"/>
        <v>2953.411514929031</v>
      </c>
      <c r="G16" s="22"/>
      <c r="H16" s="24">
        <f t="shared" si="0"/>
        <v>0</v>
      </c>
      <c r="I16" s="24">
        <f>I15*(1-Summary!$G$19)*(1+Summary!$G$15)</f>
        <v>0</v>
      </c>
      <c r="J16" s="24">
        <f t="shared" si="1"/>
        <v>0</v>
      </c>
      <c r="K16" s="24">
        <f t="shared" si="4"/>
        <v>2953.411514929031</v>
      </c>
      <c r="L16" s="24">
        <f t="shared" si="6"/>
        <v>12774.894175346584</v>
      </c>
      <c r="M16" s="24">
        <f>K16/(1+Summary!$G$16)^($A16-1)</f>
        <v>2011.1295286422053</v>
      </c>
      <c r="N16" s="24">
        <f t="shared" si="5"/>
        <v>11730.848061489702</v>
      </c>
    </row>
    <row r="17" spans="1:15" x14ac:dyDescent="0.4">
      <c r="A17" s="43">
        <v>15</v>
      </c>
      <c r="B17" s="44">
        <f>B16*(1-Summary!$G$19)</f>
        <v>32130.243295771332</v>
      </c>
      <c r="C17" s="45">
        <f>IF(A17&gt;Summary!$D$31,0,(C16*(1+Summary!$D$29)))</f>
        <v>0</v>
      </c>
      <c r="D17" s="46">
        <f t="shared" si="2"/>
        <v>0</v>
      </c>
      <c r="E17" s="47">
        <f>E16*(1+Summary!$G$15)</f>
        <v>9.381091802392573E-2</v>
      </c>
      <c r="F17" s="47">
        <f t="shared" si="3"/>
        <v>3014.1676199083936</v>
      </c>
      <c r="G17" s="48"/>
      <c r="H17" s="46">
        <f t="shared" si="0"/>
        <v>0</v>
      </c>
      <c r="I17" s="46">
        <f>I16*(1-Summary!$G$19)*(1+Summary!$G$15)</f>
        <v>0</v>
      </c>
      <c r="J17" s="46">
        <f t="shared" si="1"/>
        <v>0</v>
      </c>
      <c r="K17" s="81">
        <f t="shared" si="4"/>
        <v>3014.1676199083936</v>
      </c>
      <c r="L17" s="46">
        <f t="shared" si="6"/>
        <v>15789.061795254978</v>
      </c>
      <c r="M17" s="46">
        <f>K17/(1+Summary!$G$16)^($A17-1)</f>
        <v>1992.7198832433671</v>
      </c>
      <c r="N17" s="46">
        <f t="shared" si="5"/>
        <v>13723.567944733069</v>
      </c>
    </row>
    <row r="18" spans="1:15" x14ac:dyDescent="0.4">
      <c r="A18" s="23">
        <v>16</v>
      </c>
      <c r="B18" s="42">
        <f>B17*(1-Summary!$G$19)</f>
        <v>31969.592079292473</v>
      </c>
      <c r="C18" s="25">
        <f>IF(A18&gt;Summary!$D$31,0,(C17*(1+Summary!$D$29)))</f>
        <v>0</v>
      </c>
      <c r="D18" s="24">
        <f t="shared" si="2"/>
        <v>0</v>
      </c>
      <c r="E18" s="41">
        <f>E17*(1+Summary!$G$15)</f>
        <v>9.6221858617140624E-2</v>
      </c>
      <c r="F18" s="41">
        <f t="shared" si="3"/>
        <v>3076.1735691013391</v>
      </c>
      <c r="G18" s="22"/>
      <c r="H18" s="24">
        <f t="shared" si="0"/>
        <v>0</v>
      </c>
      <c r="I18" s="24">
        <f>I17*(1-Summary!$G$19)*(1+Summary!$G$15)</f>
        <v>0</v>
      </c>
      <c r="J18" s="24">
        <f t="shared" si="1"/>
        <v>0</v>
      </c>
      <c r="K18" s="24">
        <f t="shared" si="4"/>
        <v>3076.1735691013391</v>
      </c>
      <c r="L18" s="24">
        <f t="shared" si="6"/>
        <v>18865.235364356318</v>
      </c>
      <c r="M18" s="24">
        <f>K18/(1+Summary!$G$16)^($A18-1)</f>
        <v>1974.4787575936971</v>
      </c>
      <c r="N18" s="24">
        <f t="shared" si="5"/>
        <v>15698.046702326767</v>
      </c>
    </row>
    <row r="19" spans="1:15" x14ac:dyDescent="0.4">
      <c r="A19" s="23">
        <v>17</v>
      </c>
      <c r="B19" s="42">
        <f>B18*(1-Summary!$G$19)</f>
        <v>31809.744118896011</v>
      </c>
      <c r="C19" s="25">
        <f>IF(A19&gt;Summary!$D$31,0,(C18*(1+Summary!$D$29)))</f>
        <v>0</v>
      </c>
      <c r="D19" s="24">
        <f t="shared" si="2"/>
        <v>0</v>
      </c>
      <c r="E19" s="41">
        <f>E18*(1+Summary!$G$15)</f>
        <v>9.8694760383601143E-2</v>
      </c>
      <c r="F19" s="41">
        <f t="shared" si="3"/>
        <v>3139.4550736781075</v>
      </c>
      <c r="G19" s="22"/>
      <c r="H19" s="24">
        <f t="shared" si="0"/>
        <v>0</v>
      </c>
      <c r="I19" s="24">
        <f>I18*(1-Summary!$G$19)*(1+Summary!$G$15)</f>
        <v>0</v>
      </c>
      <c r="J19" s="24">
        <f t="shared" si="1"/>
        <v>0</v>
      </c>
      <c r="K19" s="24">
        <f t="shared" si="4"/>
        <v>3139.4550736781075</v>
      </c>
      <c r="L19" s="24">
        <f t="shared" si="6"/>
        <v>22004.690438034428</v>
      </c>
      <c r="M19" s="24">
        <f>K19/(1+Summary!$G$16)^($A19-1)</f>
        <v>1956.404609083045</v>
      </c>
      <c r="N19" s="24">
        <f t="shared" si="5"/>
        <v>17654.451311409812</v>
      </c>
    </row>
    <row r="20" spans="1:15" x14ac:dyDescent="0.4">
      <c r="A20" s="23">
        <v>18</v>
      </c>
      <c r="B20" s="42">
        <f>B19*(1-Summary!$G$19)</f>
        <v>31650.69539830153</v>
      </c>
      <c r="C20" s="25">
        <f>IF(A20&gt;Summary!$D$31,0,(C19*(1+Summary!$D$29)))</f>
        <v>0</v>
      </c>
      <c r="D20" s="24">
        <f t="shared" si="2"/>
        <v>0</v>
      </c>
      <c r="E20" s="41">
        <f>E19*(1+Summary!$G$15)</f>
        <v>0.10123121572545969</v>
      </c>
      <c r="F20" s="41">
        <f t="shared" si="3"/>
        <v>3204.0383737262764</v>
      </c>
      <c r="G20" s="22"/>
      <c r="H20" s="24">
        <f t="shared" si="0"/>
        <v>0</v>
      </c>
      <c r="I20" s="24">
        <f>I19*(1-Summary!$G$19)*(1+Summary!$G$15)</f>
        <v>0</v>
      </c>
      <c r="J20" s="24">
        <f t="shared" si="1"/>
        <v>0</v>
      </c>
      <c r="K20" s="24">
        <f t="shared" si="4"/>
        <v>3204.0383737262764</v>
      </c>
      <c r="L20" s="24">
        <f t="shared" si="6"/>
        <v>25208.728811760702</v>
      </c>
      <c r="M20" s="24">
        <f>K20/(1+Summary!$G$16)^($A20-1)</f>
        <v>1938.4959092221327</v>
      </c>
      <c r="N20" s="24">
        <f t="shared" si="5"/>
        <v>19592.947220631944</v>
      </c>
    </row>
    <row r="21" spans="1:15" x14ac:dyDescent="0.4">
      <c r="A21" s="23">
        <v>19</v>
      </c>
      <c r="B21" s="42">
        <f>B20*(1-Summary!$G$19)</f>
        <v>31492.441921310023</v>
      </c>
      <c r="C21" s="25">
        <f>IF(A21&gt;Summary!$D$31,0,(C20*(1+Summary!$D$29)))</f>
        <v>0</v>
      </c>
      <c r="D21" s="24">
        <f t="shared" si="2"/>
        <v>0</v>
      </c>
      <c r="E21" s="41">
        <f>E20*(1+Summary!$G$15)</f>
        <v>0.10383285796960401</v>
      </c>
      <c r="F21" s="41">
        <f t="shared" si="3"/>
        <v>3269.950249131387</v>
      </c>
      <c r="G21" s="22"/>
      <c r="H21" s="24">
        <f t="shared" si="0"/>
        <v>0</v>
      </c>
      <c r="I21" s="24">
        <f>I20*(1-Summary!$G$19)*(1+Summary!$G$15)</f>
        <v>0</v>
      </c>
      <c r="J21" s="24">
        <f t="shared" si="1"/>
        <v>0</v>
      </c>
      <c r="K21" s="24">
        <f t="shared" si="4"/>
        <v>3269.950249131387</v>
      </c>
      <c r="L21" s="24">
        <f t="shared" si="6"/>
        <v>28478.679060892089</v>
      </c>
      <c r="M21" s="24">
        <f>K21/(1+Summary!$G$16)^($A21-1)</f>
        <v>1920.7511435132969</v>
      </c>
      <c r="N21" s="24">
        <f t="shared" si="5"/>
        <v>21513.698364145243</v>
      </c>
    </row>
    <row r="22" spans="1:15" x14ac:dyDescent="0.4">
      <c r="A22" s="43">
        <v>20</v>
      </c>
      <c r="B22" s="44">
        <f>B21*(1-Summary!$G$19)</f>
        <v>31334.979711703472</v>
      </c>
      <c r="C22" s="45">
        <f>IF(A22&gt;Summary!$D$31,0,(C21*(1+Summary!$D$29)))</f>
        <v>0</v>
      </c>
      <c r="D22" s="46">
        <f t="shared" si="2"/>
        <v>0</v>
      </c>
      <c r="E22" s="47">
        <f>E21*(1+Summary!$G$15)</f>
        <v>0.10650136241942283</v>
      </c>
      <c r="F22" s="47">
        <f t="shared" si="3"/>
        <v>3337.218030681393</v>
      </c>
      <c r="G22" s="48"/>
      <c r="H22" s="46">
        <f t="shared" si="0"/>
        <v>0</v>
      </c>
      <c r="I22" s="46">
        <f>I21*(1-Summary!$G$19)*(1+Summary!$G$15)</f>
        <v>0</v>
      </c>
      <c r="J22" s="46">
        <f t="shared" si="1"/>
        <v>0</v>
      </c>
      <c r="K22" s="81">
        <f t="shared" si="4"/>
        <v>3337.218030681393</v>
      </c>
      <c r="L22" s="46">
        <f t="shared" si="6"/>
        <v>31815.897091573483</v>
      </c>
      <c r="M22" s="46">
        <f>K22/(1+Summary!$G$16)^($A22-1)</f>
        <v>1903.1688113224084</v>
      </c>
      <c r="N22" s="46">
        <f t="shared" si="5"/>
        <v>23416.867175467651</v>
      </c>
    </row>
    <row r="23" spans="1:15" x14ac:dyDescent="0.4">
      <c r="A23" s="23">
        <v>21</v>
      </c>
      <c r="B23" s="42">
        <f>B22*(1-Summary!$G$19)</f>
        <v>31178.304813144954</v>
      </c>
      <c r="C23" s="25">
        <f>IF(A23&gt;Summary!$D$31,0,(C22*(1+Summary!$D$29)))</f>
        <v>0</v>
      </c>
      <c r="D23" s="24">
        <f t="shared" si="2"/>
        <v>0</v>
      </c>
      <c r="E23" s="41">
        <f>E22*(1+Summary!$G$15)</f>
        <v>0.109238447433602</v>
      </c>
      <c r="F23" s="41">
        <f t="shared" si="3"/>
        <v>3405.8696113995552</v>
      </c>
      <c r="G23" s="22"/>
      <c r="H23" s="24">
        <f t="shared" si="0"/>
        <v>0</v>
      </c>
      <c r="I23" s="24">
        <f>I22*(1-Summary!$G$19)*(1+Summary!$G$15)</f>
        <v>0</v>
      </c>
      <c r="J23" s="24">
        <f t="shared" si="1"/>
        <v>0</v>
      </c>
      <c r="K23" s="24">
        <f t="shared" si="4"/>
        <v>3405.8696113995552</v>
      </c>
      <c r="L23" s="24">
        <f t="shared" si="6"/>
        <v>35221.766702973036</v>
      </c>
      <c r="M23" s="24">
        <f>K23/(1+Summary!$G$16)^($A23-1)</f>
        <v>1885.7474257519684</v>
      </c>
      <c r="N23" s="24">
        <f t="shared" si="5"/>
        <v>25302.614601219619</v>
      </c>
    </row>
    <row r="24" spans="1:15" x14ac:dyDescent="0.4">
      <c r="A24" s="23">
        <v>22</v>
      </c>
      <c r="B24" s="42">
        <f>B23*(1-Summary!$G$19)</f>
        <v>31022.413289079228</v>
      </c>
      <c r="C24" s="25">
        <f>IF(A24&gt;Summary!$D$31,0,(C23*(1+Summary!$D$29)))</f>
        <v>0</v>
      </c>
      <c r="D24" s="24">
        <f t="shared" si="2"/>
        <v>0</v>
      </c>
      <c r="E24" s="41">
        <f>E23*(1+Summary!$G$15)</f>
        <v>0.11204587553264558</v>
      </c>
      <c r="F24" s="41">
        <f t="shared" si="3"/>
        <v>3475.9334581104613</v>
      </c>
      <c r="G24" s="22"/>
      <c r="H24" s="24">
        <f t="shared" si="0"/>
        <v>0</v>
      </c>
      <c r="I24" s="24">
        <f>I23*(1-Summary!$G$19)*(1+Summary!$G$15)</f>
        <v>0</v>
      </c>
      <c r="J24" s="24">
        <f t="shared" si="1"/>
        <v>0</v>
      </c>
      <c r="K24" s="24">
        <f t="shared" si="4"/>
        <v>3475.9334581104613</v>
      </c>
      <c r="L24" s="24">
        <f t="shared" si="6"/>
        <v>38697.7001610835</v>
      </c>
      <c r="M24" s="24">
        <f>K24/(1+Summary!$G$16)^($A24-1)</f>
        <v>1868.4855135153643</v>
      </c>
      <c r="N24" s="24">
        <f t="shared" si="5"/>
        <v>27171.100114734982</v>
      </c>
    </row>
    <row r="25" spans="1:15" x14ac:dyDescent="0.4">
      <c r="A25" s="23">
        <v>23</v>
      </c>
      <c r="B25" s="42">
        <f>B24*(1-Summary!$G$19)</f>
        <v>30867.301222633832</v>
      </c>
      <c r="C25" s="25">
        <f>IF(A25&gt;Summary!$D$31,0,(C24*(1+Summary!$D$29)))</f>
        <v>0</v>
      </c>
      <c r="D25" s="24">
        <f t="shared" si="2"/>
        <v>0</v>
      </c>
      <c r="E25" s="41">
        <f>E24*(1+Summary!$G$15)</f>
        <v>0.11492545453383458</v>
      </c>
      <c r="F25" s="41">
        <f t="shared" si="3"/>
        <v>3547.4386232439811</v>
      </c>
      <c r="G25" s="22"/>
      <c r="H25" s="24">
        <f t="shared" si="0"/>
        <v>0</v>
      </c>
      <c r="I25" s="24">
        <f>I24*(1-Summary!$G$19)*(1+Summary!$G$15)</f>
        <v>0</v>
      </c>
      <c r="J25" s="24">
        <f t="shared" si="1"/>
        <v>0</v>
      </c>
      <c r="K25" s="24">
        <f t="shared" si="4"/>
        <v>3547.4386232439811</v>
      </c>
      <c r="L25" s="24">
        <f t="shared" si="6"/>
        <v>42245.138784327479</v>
      </c>
      <c r="M25" s="24">
        <f>K25/(1+Summary!$G$16)^($A25-1)</f>
        <v>1851.3816148122773</v>
      </c>
      <c r="N25" s="24">
        <f t="shared" si="5"/>
        <v>29022.48172954726</v>
      </c>
    </row>
    <row r="26" spans="1:15" x14ac:dyDescent="0.4">
      <c r="A26" s="23">
        <v>24</v>
      </c>
      <c r="B26" s="42">
        <f>B25*(1-Summary!$G$19)</f>
        <v>30712.964716520662</v>
      </c>
      <c r="C26" s="25">
        <f>IF(A26&gt;Summary!$D$31,0,(C25*(1+Summary!$D$29)))</f>
        <v>0</v>
      </c>
      <c r="D26" s="24">
        <f t="shared" si="2"/>
        <v>0</v>
      </c>
      <c r="E26" s="41">
        <f>E25*(1+Summary!$G$15)</f>
        <v>0.11787903871535414</v>
      </c>
      <c r="F26" s="41">
        <f t="shared" si="3"/>
        <v>3620.4147568820449</v>
      </c>
      <c r="G26" s="22"/>
      <c r="H26" s="24">
        <f t="shared" si="0"/>
        <v>0</v>
      </c>
      <c r="I26" s="24">
        <f>I25*(1-Summary!$G$19)*(1+Summary!$G$15)</f>
        <v>0</v>
      </c>
      <c r="J26" s="24">
        <f t="shared" si="1"/>
        <v>0</v>
      </c>
      <c r="K26" s="24">
        <f t="shared" si="4"/>
        <v>3620.4147568820449</v>
      </c>
      <c r="L26" s="24">
        <f t="shared" si="6"/>
        <v>45865.553541209527</v>
      </c>
      <c r="M26" s="24">
        <f>K26/(1+Summary!$G$16)^($A26-1)</f>
        <v>1834.4342832052312</v>
      </c>
      <c r="N26" s="24">
        <f t="shared" si="5"/>
        <v>30856.916012752492</v>
      </c>
    </row>
    <row r="27" spans="1:15" x14ac:dyDescent="0.4">
      <c r="A27" s="43">
        <v>25</v>
      </c>
      <c r="B27" s="44">
        <f>B26*(1-Summary!$G$19)</f>
        <v>30559.399892938058</v>
      </c>
      <c r="C27" s="45">
        <f>IF(A27&gt;Summary!$D$31,0,(C26*(1+Summary!$D$29)))</f>
        <v>0</v>
      </c>
      <c r="D27" s="46">
        <f t="shared" si="2"/>
        <v>0</v>
      </c>
      <c r="E27" s="47">
        <f>E26*(1+Summary!$G$15)</f>
        <v>0.12090853001033874</v>
      </c>
      <c r="F27" s="47">
        <f t="shared" si="3"/>
        <v>3694.8921190532437</v>
      </c>
      <c r="G27" s="48"/>
      <c r="H27" s="46">
        <f t="shared" si="0"/>
        <v>0</v>
      </c>
      <c r="I27" s="46">
        <f>I26*(1-Summary!$G$19)*(1+Summary!$G$15)</f>
        <v>0</v>
      </c>
      <c r="J27" s="46">
        <f t="shared" si="1"/>
        <v>0</v>
      </c>
      <c r="K27" s="81">
        <f t="shared" si="4"/>
        <v>3694.8921190532437</v>
      </c>
      <c r="L27" s="46">
        <f t="shared" si="6"/>
        <v>49560.445660262769</v>
      </c>
      <c r="M27" s="46">
        <f>K27/(1+Summary!$G$16)^($A27-1)</f>
        <v>1817.6420854972698</v>
      </c>
      <c r="N27" s="46">
        <f t="shared" si="5"/>
        <v>32674.558098249763</v>
      </c>
    </row>
    <row r="28" spans="1:15" x14ac:dyDescent="0.4">
      <c r="A28" s="23">
        <v>26</v>
      </c>
      <c r="B28" s="42">
        <f>B27*(1-Summary!$G$19)</f>
        <v>30406.602893473366</v>
      </c>
      <c r="C28" s="25">
        <f>IF(A28&gt;Summary!$D$31,0,(C27*(1+Summary!$D$29)))</f>
        <v>0</v>
      </c>
      <c r="D28" s="24">
        <f t="shared" ref="D28:D32" si="7">B28*C28*-1</f>
        <v>0</v>
      </c>
      <c r="E28" s="41">
        <f>E27*(1+Summary!$G$15)</f>
        <v>0.12401587923160445</v>
      </c>
      <c r="F28" s="41">
        <f t="shared" ref="F28:F32" si="8">B28*E28</f>
        <v>3770.9015922803474</v>
      </c>
      <c r="G28" s="22"/>
      <c r="H28" s="24">
        <f t="shared" si="0"/>
        <v>0</v>
      </c>
      <c r="I28" s="24">
        <f>I27*(1-Summary!$G$19)*(1+Summary!$G$15)</f>
        <v>0</v>
      </c>
      <c r="J28" s="24">
        <f t="shared" si="1"/>
        <v>0</v>
      </c>
      <c r="K28" s="24">
        <f t="shared" si="4"/>
        <v>3770.9015922803474</v>
      </c>
      <c r="L28" s="24">
        <f t="shared" ref="L28:L32" si="9">L27+K28</f>
        <v>53331.347252543113</v>
      </c>
      <c r="M28" s="24">
        <f>K28/(1+Summary!$G$16)^($A28-1)</f>
        <v>1801.0036016107542</v>
      </c>
      <c r="N28" s="24">
        <f t="shared" ref="N28:N32" si="10">M28+N27</f>
        <v>34475.561699860518</v>
      </c>
    </row>
    <row r="29" spans="1:15" x14ac:dyDescent="0.4">
      <c r="A29" s="23">
        <v>27</v>
      </c>
      <c r="B29" s="42">
        <f>B28*(1-Summary!$G$19)</f>
        <v>30254.569879005998</v>
      </c>
      <c r="C29" s="25">
        <f>IF(A29&gt;Summary!$D$31,0,(C28*(1+Summary!$D$29)))</f>
        <v>0</v>
      </c>
      <c r="D29" s="24">
        <f t="shared" si="7"/>
        <v>0</v>
      </c>
      <c r="E29" s="41">
        <f>E28*(1+Summary!$G$15)</f>
        <v>0.12720308732785671</v>
      </c>
      <c r="F29" s="41">
        <f t="shared" si="8"/>
        <v>3848.4746943859432</v>
      </c>
      <c r="G29" s="22"/>
      <c r="H29" s="24">
        <f t="shared" si="0"/>
        <v>0</v>
      </c>
      <c r="I29" s="24">
        <f>I28*(1-Summary!$G$19)*(1+Summary!$G$15)</f>
        <v>0</v>
      </c>
      <c r="J29" s="24">
        <f t="shared" si="1"/>
        <v>0</v>
      </c>
      <c r="K29" s="24">
        <f t="shared" si="4"/>
        <v>3848.4746943859432</v>
      </c>
      <c r="L29" s="24">
        <f t="shared" si="9"/>
        <v>57179.821946929056</v>
      </c>
      <c r="M29" s="24">
        <f>K29/(1+Summary!$G$16)^($A29-1)</f>
        <v>1784.5174244672717</v>
      </c>
      <c r="N29" s="24">
        <f t="shared" si="10"/>
        <v>36260.079124327793</v>
      </c>
    </row>
    <row r="30" spans="1:15" x14ac:dyDescent="0.4">
      <c r="A30" s="23">
        <v>28</v>
      </c>
      <c r="B30" s="42">
        <f>B29*(1-Summary!$G$19)</f>
        <v>30103.297029610967</v>
      </c>
      <c r="C30" s="25">
        <f>IF(A30&gt;Summary!$D$31,0,(C29*(1+Summary!$D$29)))</f>
        <v>0</v>
      </c>
      <c r="D30" s="24">
        <f t="shared" si="7"/>
        <v>0</v>
      </c>
      <c r="E30" s="41">
        <f>E29*(1+Summary!$G$15)</f>
        <v>0.13047220667218262</v>
      </c>
      <c r="F30" s="41">
        <f t="shared" si="8"/>
        <v>3927.6435915615034</v>
      </c>
      <c r="G30" s="22"/>
      <c r="H30" s="24">
        <f t="shared" si="0"/>
        <v>0</v>
      </c>
      <c r="I30" s="24">
        <f>I29*(1-Summary!$G$19)*(1+Summary!$G$15)</f>
        <v>0</v>
      </c>
      <c r="J30" s="24">
        <f t="shared" si="1"/>
        <v>0</v>
      </c>
      <c r="K30" s="24">
        <f t="shared" si="4"/>
        <v>3927.6435915615034</v>
      </c>
      <c r="L30" s="24">
        <f t="shared" si="9"/>
        <v>61107.465538490556</v>
      </c>
      <c r="M30" s="24">
        <f>K30/(1+Summary!$G$16)^($A30-1)</f>
        <v>1768.1821598686411</v>
      </c>
      <c r="N30" s="24">
        <f t="shared" si="10"/>
        <v>38028.261284196436</v>
      </c>
    </row>
    <row r="31" spans="1:15" x14ac:dyDescent="0.4">
      <c r="A31" s="23">
        <v>29</v>
      </c>
      <c r="B31" s="42">
        <f>B30*(1-Summary!$G$19)</f>
        <v>29952.780544462912</v>
      </c>
      <c r="C31" s="25">
        <f>IF(A31&gt;Summary!$D$31,0,(C30*(1+Summary!$D$29)))</f>
        <v>0</v>
      </c>
      <c r="D31" s="24">
        <f t="shared" si="7"/>
        <v>0</v>
      </c>
      <c r="E31" s="41">
        <f>E30*(1+Summary!$G$15)</f>
        <v>0.13382534238365773</v>
      </c>
      <c r="F31" s="41">
        <f t="shared" si="8"/>
        <v>4008.4411117053114</v>
      </c>
      <c r="G31" s="22"/>
      <c r="H31" s="24">
        <f t="shared" si="0"/>
        <v>0</v>
      </c>
      <c r="I31" s="24">
        <f>I30*(1-Summary!$G$19)*(1+Summary!$G$15)</f>
        <v>0</v>
      </c>
      <c r="J31" s="24">
        <f t="shared" si="1"/>
        <v>0</v>
      </c>
      <c r="K31" s="24">
        <f t="shared" si="4"/>
        <v>4008.4411117053114</v>
      </c>
      <c r="L31" s="24">
        <f t="shared" si="9"/>
        <v>65115.906650195866</v>
      </c>
      <c r="M31" s="24">
        <f>K31/(1+Summary!$G$16)^($A31-1)</f>
        <v>1751.9964263790087</v>
      </c>
      <c r="N31" s="24">
        <f t="shared" si="10"/>
        <v>39780.257710575446</v>
      </c>
    </row>
    <row r="32" spans="1:15" x14ac:dyDescent="0.4">
      <c r="A32" s="43">
        <v>30</v>
      </c>
      <c r="B32" s="44">
        <f>B31*(1-Summary!$G$19)</f>
        <v>29803.016641740596</v>
      </c>
      <c r="C32" s="45">
        <f>IF(A32&gt;Summary!$D$31,0,(C31*(1+Summary!$D$29)))</f>
        <v>0</v>
      </c>
      <c r="D32" s="46">
        <f t="shared" si="7"/>
        <v>0</v>
      </c>
      <c r="E32" s="47">
        <f>E31*(1+Summary!$G$15)</f>
        <v>0.13726465368291774</v>
      </c>
      <c r="F32" s="47">
        <f t="shared" si="8"/>
        <v>4090.900758034757</v>
      </c>
      <c r="G32" s="48"/>
      <c r="H32" s="46">
        <f t="shared" si="0"/>
        <v>0</v>
      </c>
      <c r="I32" s="46">
        <f>I31*(1-Summary!$G$19)*(1+Summary!$G$15)</f>
        <v>0</v>
      </c>
      <c r="J32" s="46">
        <f t="shared" si="1"/>
        <v>0</v>
      </c>
      <c r="K32" s="81">
        <f t="shared" si="4"/>
        <v>4090.900758034757</v>
      </c>
      <c r="L32" s="46">
        <f t="shared" si="9"/>
        <v>69206.807408230627</v>
      </c>
      <c r="M32" s="46">
        <f>K32/(1+Summary!$G$16)^($A32-1)</f>
        <v>1735.958855208024</v>
      </c>
      <c r="N32" s="46">
        <f t="shared" si="10"/>
        <v>41516.21656578347</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4B53A"/>
  </sheetPr>
  <dimension ref="A1:AD1102"/>
  <sheetViews>
    <sheetView workbookViewId="0">
      <selection activeCell="J20" sqref="J20"/>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39" t="str">
        <f>Summary!E24</f>
        <v>EXAMPLE SITE 2</v>
      </c>
      <c r="C1" s="19"/>
      <c r="D1" s="19"/>
      <c r="E1" s="19"/>
      <c r="F1" s="19"/>
      <c r="G1" s="19"/>
      <c r="H1" s="19"/>
      <c r="I1" s="19"/>
      <c r="J1" s="19"/>
      <c r="K1" s="19"/>
      <c r="L1" s="20"/>
      <c r="M1" s="20"/>
      <c r="N1" s="20"/>
    </row>
    <row r="2" spans="1:14" ht="58.3" x14ac:dyDescent="0.4">
      <c r="A2" s="40"/>
      <c r="B2" s="40" t="s">
        <v>45</v>
      </c>
      <c r="C2" s="53" t="s">
        <v>38</v>
      </c>
      <c r="D2" s="53" t="s">
        <v>32</v>
      </c>
      <c r="E2" s="54" t="s">
        <v>46</v>
      </c>
      <c r="F2" s="54" t="s">
        <v>39</v>
      </c>
      <c r="G2" s="55" t="s">
        <v>155</v>
      </c>
      <c r="H2" s="55" t="s">
        <v>156</v>
      </c>
      <c r="I2" s="55" t="s">
        <v>114</v>
      </c>
      <c r="J2" s="40" t="s">
        <v>47</v>
      </c>
      <c r="K2" s="40" t="s">
        <v>33</v>
      </c>
      <c r="L2" s="40" t="s">
        <v>34</v>
      </c>
      <c r="M2" s="40" t="s">
        <v>35</v>
      </c>
      <c r="N2" s="40" t="s">
        <v>36</v>
      </c>
    </row>
    <row r="3" spans="1:14" x14ac:dyDescent="0.4">
      <c r="A3" s="23">
        <v>1</v>
      </c>
      <c r="B3" s="42">
        <f>Summary!E27</f>
        <v>140080</v>
      </c>
      <c r="C3" s="25">
        <f>Summary!E28</f>
        <v>7.5600000000000001E-2</v>
      </c>
      <c r="D3" s="24">
        <f>B3*C3*-1</f>
        <v>-10590.048000000001</v>
      </c>
      <c r="E3" s="41">
        <f>VLOOKUP(Summary!E25,Summary!V4:AF6,11,FALSE)</f>
        <v>6.5761E-2</v>
      </c>
      <c r="F3" s="41">
        <f>B3*E3</f>
        <v>9211.8008800000007</v>
      </c>
      <c r="G3" s="22">
        <f>IF(Summary!$E$26&lt;=40,Summary!$G$18,Summary!$G$17)</f>
        <v>3.4267199999999998E-2</v>
      </c>
      <c r="H3" s="75">
        <f t="shared" ref="H3:H12" si="0">G3*B3</f>
        <v>4800.1493759999994</v>
      </c>
      <c r="I3" s="75">
        <f>IFERROR('Demand Charge Calculations'!B52,0)</f>
        <v>0</v>
      </c>
      <c r="J3" s="24">
        <f t="shared" ref="J3:J32" si="1">D3*-1-H3</f>
        <v>5789.8986240000013</v>
      </c>
      <c r="K3" s="24">
        <f>F3+D3+H3+I3</f>
        <v>3421.9022559999994</v>
      </c>
      <c r="L3" s="24">
        <f>K3</f>
        <v>3421.9022559999994</v>
      </c>
      <c r="M3" s="24">
        <f>K3/(1+Summary!$G$16)^($A3-1)</f>
        <v>3421.9022559999994</v>
      </c>
      <c r="N3" s="24">
        <f>M3</f>
        <v>3421.9022559999994</v>
      </c>
    </row>
    <row r="4" spans="1:14" x14ac:dyDescent="0.4">
      <c r="A4" s="23">
        <v>2</v>
      </c>
      <c r="B4" s="42">
        <f>B3*(1-Summary!$G$19)</f>
        <v>139379.6</v>
      </c>
      <c r="C4" s="25">
        <f>IF(A4&gt;Summary!$E$31,0,(C3*(1+Summary!$E$29)))</f>
        <v>7.7112E-2</v>
      </c>
      <c r="D4" s="24">
        <f t="shared" ref="D4:D32" si="2">B4*C4*-1</f>
        <v>-10747.8397152</v>
      </c>
      <c r="E4" s="41">
        <f>E3*(1+Summary!$G$15)</f>
        <v>6.7451057699999997E-2</v>
      </c>
      <c r="F4" s="41">
        <f t="shared" ref="F4:F32" si="3">B4*E4</f>
        <v>9401.3014418029197</v>
      </c>
      <c r="G4" s="22">
        <f>IF(Summary!$E$26&lt;=40,Summary!$G$18,Summary!$G$17)</f>
        <v>3.4267199999999998E-2</v>
      </c>
      <c r="H4" s="75">
        <f t="shared" si="0"/>
        <v>4776.1486291199999</v>
      </c>
      <c r="I4" s="75">
        <f>I3*(1-Summary!$G$19)*(1+Summary!$G$15)</f>
        <v>0</v>
      </c>
      <c r="J4" s="24">
        <f t="shared" si="1"/>
        <v>5971.6910860799999</v>
      </c>
      <c r="K4" s="24">
        <f t="shared" ref="K4:K32" si="4">F4+D4+H4+I4</f>
        <v>3429.6103557229198</v>
      </c>
      <c r="L4" s="24">
        <f t="shared" ref="L4:L32" si="5">L3+K4</f>
        <v>6851.5126117229192</v>
      </c>
      <c r="M4" s="24">
        <f>K4/(1+Summary!$G$16)^($A4-1)</f>
        <v>3329.7187919639996</v>
      </c>
      <c r="N4" s="24">
        <f>M4+N3</f>
        <v>6751.6210479639994</v>
      </c>
    </row>
    <row r="5" spans="1:14" x14ac:dyDescent="0.4">
      <c r="A5" s="23">
        <v>3</v>
      </c>
      <c r="B5" s="42">
        <f>B4*(1-Summary!$G$19)</f>
        <v>138682.70200000002</v>
      </c>
      <c r="C5" s="25">
        <f>IF(A5&gt;Summary!$E$31,0,(C4*(1+Summary!$E$29)))</f>
        <v>7.865424E-2</v>
      </c>
      <c r="D5" s="24">
        <f t="shared" si="2"/>
        <v>-10907.982526956481</v>
      </c>
      <c r="E5" s="41">
        <f>E4*(1+Summary!$G$15)</f>
        <v>6.9184549882889995E-2</v>
      </c>
      <c r="F5" s="41">
        <f t="shared" si="3"/>
        <v>9594.7003144129703</v>
      </c>
      <c r="G5" s="22">
        <f>IF(Summary!$E$26&lt;=40,Summary!$G$18,Summary!$G$17)</f>
        <v>3.4267199999999998E-2</v>
      </c>
      <c r="H5" s="75">
        <f t="shared" si="0"/>
        <v>4752.2678859744001</v>
      </c>
      <c r="I5" s="75">
        <f>I4*(1-Summary!$G$19)*(1+Summary!$G$15)</f>
        <v>0</v>
      </c>
      <c r="J5" s="24">
        <f t="shared" si="1"/>
        <v>6155.7146409820807</v>
      </c>
      <c r="K5" s="24">
        <f t="shared" si="4"/>
        <v>3438.9856734308896</v>
      </c>
      <c r="L5" s="24">
        <f t="shared" si="5"/>
        <v>10290.498285153808</v>
      </c>
      <c r="M5" s="24">
        <f>K5/(1+Summary!$G$16)^($A5-1)</f>
        <v>3241.5738273455459</v>
      </c>
      <c r="N5" s="24">
        <f t="shared" ref="N5:N32" si="6">M5+N4</f>
        <v>9993.1948753095458</v>
      </c>
    </row>
    <row r="6" spans="1:14" x14ac:dyDescent="0.4">
      <c r="A6" s="23">
        <v>4</v>
      </c>
      <c r="B6" s="42">
        <f>B5*(1-Summary!$G$19)</f>
        <v>137989.28849000001</v>
      </c>
      <c r="C6" s="25">
        <f>IF(A6&gt;Summary!$E$31,0,(C5*(1+Summary!$E$29)))</f>
        <v>8.0227324799999999E-2</v>
      </c>
      <c r="D6" s="24">
        <f t="shared" si="2"/>
        <v>-11070.511466608132</v>
      </c>
      <c r="E6" s="41">
        <f>E5*(1+Summary!$G$15)</f>
        <v>7.0962592814880265E-2</v>
      </c>
      <c r="F6" s="41">
        <f t="shared" si="3"/>
        <v>9792.0776919309137</v>
      </c>
      <c r="G6" s="22">
        <f>IF(Summary!$E$26&lt;=40,Summary!$G$18,Summary!$G$17)</f>
        <v>3.4267199999999998E-2</v>
      </c>
      <c r="H6" s="75">
        <f t="shared" si="0"/>
        <v>4728.5065465445277</v>
      </c>
      <c r="I6" s="75">
        <f>I5*(1-Summary!$G$19)*(1+Summary!$G$15)</f>
        <v>0</v>
      </c>
      <c r="J6" s="24">
        <f t="shared" si="1"/>
        <v>6342.004920063604</v>
      </c>
      <c r="K6" s="24">
        <f t="shared" si="4"/>
        <v>3450.0727718673097</v>
      </c>
      <c r="L6" s="24">
        <f t="shared" si="5"/>
        <v>13740.571057021118</v>
      </c>
      <c r="M6" s="24">
        <f>K6/(1+Summary!$G$16)^($A6-1)</f>
        <v>3157.3053213358044</v>
      </c>
      <c r="N6" s="24">
        <f t="shared" si="6"/>
        <v>13150.500196645349</v>
      </c>
    </row>
    <row r="7" spans="1:14" x14ac:dyDescent="0.4">
      <c r="A7" s="43">
        <v>5</v>
      </c>
      <c r="B7" s="44">
        <f>B6*(1-Summary!$G$19)</f>
        <v>137299.34204755002</v>
      </c>
      <c r="C7" s="45">
        <f>IF(A7&gt;Summary!$E$31,0,(C6*(1+Summary!$E$29)))</f>
        <v>8.1831871296000003E-2</v>
      </c>
      <c r="D7" s="46">
        <f t="shared" si="2"/>
        <v>-11235.462087460595</v>
      </c>
      <c r="E7" s="47">
        <f>E6*(1+Summary!$G$15)</f>
        <v>7.2786331450222688E-2</v>
      </c>
      <c r="F7" s="47">
        <f t="shared" si="3"/>
        <v>9993.5154181704729</v>
      </c>
      <c r="G7" s="83">
        <f>IF(Summary!$E$26&lt;=40,Summary!$G$18,Summary!$G$17)</f>
        <v>3.4267199999999998E-2</v>
      </c>
      <c r="H7" s="81">
        <f t="shared" si="0"/>
        <v>4704.8640138118053</v>
      </c>
      <c r="I7" s="81">
        <f>I6*(1-Summary!$G$19)*(1+Summary!$G$15)</f>
        <v>0</v>
      </c>
      <c r="J7" s="46">
        <f t="shared" si="1"/>
        <v>6530.59807364879</v>
      </c>
      <c r="K7" s="81">
        <f t="shared" si="4"/>
        <v>3462.9173445216829</v>
      </c>
      <c r="L7" s="46">
        <f t="shared" si="5"/>
        <v>17203.4884015428</v>
      </c>
      <c r="M7" s="46">
        <f>K7/(1+Summary!$G$16)^($A7-1)</f>
        <v>3076.7572086101068</v>
      </c>
      <c r="N7" s="46">
        <f t="shared" si="6"/>
        <v>16227.257405255456</v>
      </c>
    </row>
    <row r="8" spans="1:14" x14ac:dyDescent="0.4">
      <c r="A8" s="23">
        <v>6</v>
      </c>
      <c r="B8" s="42">
        <f>B7*(1-Summary!$G$19)</f>
        <v>136612.84533731226</v>
      </c>
      <c r="C8" s="25">
        <f>IF(A8&gt;Summary!$E$31,0,(C7*(1+Summary!$E$29)))</f>
        <v>8.3468508721920007E-2</v>
      </c>
      <c r="D8" s="24">
        <f t="shared" si="2"/>
        <v>-11402.870472563758</v>
      </c>
      <c r="E8" s="41">
        <f>E7*(1+Summary!$G$15)</f>
        <v>7.4656940168493419E-2</v>
      </c>
      <c r="F8" s="41">
        <f t="shared" si="3"/>
        <v>10199.097020595367</v>
      </c>
      <c r="G8" s="22">
        <f>IF(Summary!$E$26&lt;=40,Summary!$G$18,Summary!$G$17)</f>
        <v>3.4267199999999998E-2</v>
      </c>
      <c r="H8" s="75">
        <f t="shared" si="0"/>
        <v>4681.339693742746</v>
      </c>
      <c r="I8" s="75">
        <f>I7*(1-Summary!$G$19)*(1+Summary!$G$15)</f>
        <v>0</v>
      </c>
      <c r="J8" s="24">
        <f t="shared" si="1"/>
        <v>6721.5307788210121</v>
      </c>
      <c r="K8" s="24">
        <f t="shared" si="4"/>
        <v>3477.5662417743551</v>
      </c>
      <c r="L8" s="24">
        <f t="shared" si="5"/>
        <v>20681.054643317155</v>
      </c>
      <c r="M8" s="24">
        <f>K8/(1+Summary!$G$16)^($A8-1)</f>
        <v>2999.7791884323824</v>
      </c>
      <c r="N8" s="24">
        <f t="shared" si="6"/>
        <v>19227.036593687837</v>
      </c>
    </row>
    <row r="9" spans="1:14" x14ac:dyDescent="0.4">
      <c r="A9" s="23">
        <v>7</v>
      </c>
      <c r="B9" s="42">
        <f>B8*(1-Summary!$G$19)</f>
        <v>135929.78111062568</v>
      </c>
      <c r="C9" s="25">
        <f>IF(A9&gt;Summary!$E$31,0,(C8*(1+Summary!$E$29)))</f>
        <v>8.5137878896358404E-2</v>
      </c>
      <c r="D9" s="24">
        <f t="shared" si="2"/>
        <v>-11572.773242604955</v>
      </c>
      <c r="E9" s="41">
        <f>E8*(1+Summary!$G$15)</f>
        <v>7.65756235308237E-2</v>
      </c>
      <c r="F9" s="41">
        <f t="shared" si="3"/>
        <v>10408.907744954544</v>
      </c>
      <c r="G9" s="22">
        <f>IF(Summary!$E$26&lt;=40,Summary!$G$18,0)</f>
        <v>0</v>
      </c>
      <c r="H9" s="75">
        <f t="shared" si="0"/>
        <v>0</v>
      </c>
      <c r="I9" s="75">
        <f>I8*(1-Summary!$G$19)*(1+Summary!$G$15)</f>
        <v>0</v>
      </c>
      <c r="J9" s="24">
        <f t="shared" si="1"/>
        <v>11572.773242604955</v>
      </c>
      <c r="K9" s="24">
        <f t="shared" si="4"/>
        <v>-1163.8654976504113</v>
      </c>
      <c r="L9" s="24">
        <f t="shared" si="5"/>
        <v>19517.189145666744</v>
      </c>
      <c r="M9" s="24">
        <f>K9/(1+Summary!$G$16)^($A9-1)</f>
        <v>-974.71903117950626</v>
      </c>
      <c r="N9" s="24">
        <f t="shared" si="6"/>
        <v>18252.317562508331</v>
      </c>
    </row>
    <row r="10" spans="1:14" x14ac:dyDescent="0.4">
      <c r="A10" s="23">
        <v>8</v>
      </c>
      <c r="B10" s="42">
        <f>B9*(1-Summary!$G$19)</f>
        <v>135250.13220507256</v>
      </c>
      <c r="C10" s="25">
        <f>IF(A10&gt;Summary!$E$31,0,(C9*(1+Summary!$E$29)))</f>
        <v>8.6840636474285568E-2</v>
      </c>
      <c r="D10" s="24">
        <f t="shared" si="2"/>
        <v>-11745.207563919768</v>
      </c>
      <c r="E10" s="41">
        <f>E9*(1+Summary!$G$15)</f>
        <v>7.8543617055565867E-2</v>
      </c>
      <c r="F10" s="41">
        <f t="shared" si="3"/>
        <v>10623.034590629875</v>
      </c>
      <c r="G10" s="22">
        <f>IF(Summary!$E$26&lt;=40,Summary!$G$18,0)</f>
        <v>0</v>
      </c>
      <c r="H10" s="75">
        <f t="shared" si="0"/>
        <v>0</v>
      </c>
      <c r="I10" s="75">
        <f>I9*(1-Summary!$G$19)*(1+Summary!$G$15)</f>
        <v>0</v>
      </c>
      <c r="J10" s="24">
        <f t="shared" si="1"/>
        <v>11745.207563919768</v>
      </c>
      <c r="K10" s="24">
        <f t="shared" si="4"/>
        <v>-1122.172973289893</v>
      </c>
      <c r="L10" s="24">
        <f t="shared" si="5"/>
        <v>18395.016172376851</v>
      </c>
      <c r="M10" s="24">
        <f>K10/(1+Summary!$G$16)^($A10-1)</f>
        <v>-912.42931884094401</v>
      </c>
      <c r="N10" s="24">
        <f t="shared" si="6"/>
        <v>17339.888243667388</v>
      </c>
    </row>
    <row r="11" spans="1:14" x14ac:dyDescent="0.4">
      <c r="A11" s="23">
        <v>9</v>
      </c>
      <c r="B11" s="42">
        <f>B10*(1-Summary!$G$19)</f>
        <v>134573.88154404718</v>
      </c>
      <c r="C11" s="25">
        <f>IF(A11&gt;Summary!$E$31,0,(C10*(1+Summary!$E$29)))</f>
        <v>8.857744920377128E-2</v>
      </c>
      <c r="D11" s="24">
        <f t="shared" si="2"/>
        <v>-11920.211156622172</v>
      </c>
      <c r="E11" s="41">
        <f>E10*(1+Summary!$G$15)</f>
        <v>8.0562188013893921E-2</v>
      </c>
      <c r="F11" s="41">
        <f t="shared" si="3"/>
        <v>10841.566346711019</v>
      </c>
      <c r="G11" s="22">
        <f>IF(Summary!$E$26&lt;=40,Summary!$G$18,0)</f>
        <v>0</v>
      </c>
      <c r="H11" s="75">
        <f t="shared" si="0"/>
        <v>0</v>
      </c>
      <c r="I11" s="75">
        <f>I10*(1-Summary!$G$19)*(1+Summary!$G$15)</f>
        <v>0</v>
      </c>
      <c r="J11" s="24">
        <f t="shared" si="1"/>
        <v>11920.211156622172</v>
      </c>
      <c r="K11" s="24">
        <f t="shared" si="4"/>
        <v>-1078.6448099111531</v>
      </c>
      <c r="L11" s="24">
        <f t="shared" si="5"/>
        <v>17316.371362465696</v>
      </c>
      <c r="M11" s="24">
        <f>K11/(1+Summary!$G$16)^($A11-1)</f>
        <v>-851.49217348866409</v>
      </c>
      <c r="N11" s="24">
        <f t="shared" si="6"/>
        <v>16488.396070178725</v>
      </c>
    </row>
    <row r="12" spans="1:14" x14ac:dyDescent="0.4">
      <c r="A12" s="43">
        <v>10</v>
      </c>
      <c r="B12" s="44">
        <f>B11*(1-Summary!$G$19)</f>
        <v>133901.01213632696</v>
      </c>
      <c r="C12" s="45">
        <f>IF(A12&gt;Summary!$E$31,0,(C11*(1+Summary!$E$29)))</f>
        <v>9.034899818784671E-2</v>
      </c>
      <c r="D12" s="46">
        <f t="shared" si="2"/>
        <v>-12097.822302855844</v>
      </c>
      <c r="E12" s="47">
        <f>E11*(1+Summary!$G$15)</f>
        <v>8.2632636245851002E-2</v>
      </c>
      <c r="F12" s="47">
        <f t="shared" si="3"/>
        <v>11064.593628812387</v>
      </c>
      <c r="G12" s="83">
        <f>IF(Summary!$E$26&lt;=40,Summary!$G$18,0)</f>
        <v>0</v>
      </c>
      <c r="H12" s="81">
        <f t="shared" si="0"/>
        <v>0</v>
      </c>
      <c r="I12" s="81">
        <f>I11*(1-Summary!$G$19)*(1+Summary!$G$15)</f>
        <v>0</v>
      </c>
      <c r="J12" s="46">
        <f t="shared" si="1"/>
        <v>12097.822302855844</v>
      </c>
      <c r="K12" s="81">
        <f t="shared" si="4"/>
        <v>-1033.2286740434574</v>
      </c>
      <c r="L12" s="46">
        <f t="shared" si="5"/>
        <v>16283.142688422238</v>
      </c>
      <c r="M12" s="46">
        <f>K12/(1+Summary!$G$16)^($A12-1)</f>
        <v>-791.88374412412509</v>
      </c>
      <c r="N12" s="46">
        <f t="shared" si="6"/>
        <v>15696.512326054601</v>
      </c>
    </row>
    <row r="13" spans="1:14" x14ac:dyDescent="0.4">
      <c r="A13" s="23">
        <v>11</v>
      </c>
      <c r="B13" s="42">
        <f>B12*(1-Summary!$G$19)</f>
        <v>133231.50707564532</v>
      </c>
      <c r="C13" s="25">
        <f>IF(A13&gt;Summary!$E$31,0,(C12*(1+Summary!$E$29)))</f>
        <v>9.2155978151603646E-2</v>
      </c>
      <c r="D13" s="24">
        <f t="shared" si="2"/>
        <v>-12278.079855168397</v>
      </c>
      <c r="E13" s="41">
        <f>E12*(1+Summary!$G$15)</f>
        <v>8.4756294997369377E-2</v>
      </c>
      <c r="F13" s="41">
        <f t="shared" si="3"/>
        <v>11292.2089166475</v>
      </c>
      <c r="G13" s="22"/>
      <c r="H13" s="24">
        <f t="shared" ref="H13:H32" si="7">G13*B13</f>
        <v>0</v>
      </c>
      <c r="I13" s="24">
        <f>I12*(1-Summary!$G$19)*(1+Summary!$G$15)</f>
        <v>0</v>
      </c>
      <c r="J13" s="24">
        <f t="shared" si="1"/>
        <v>12278.079855168397</v>
      </c>
      <c r="K13" s="24">
        <f t="shared" si="4"/>
        <v>-985.87093852089674</v>
      </c>
      <c r="L13" s="24">
        <f t="shared" si="5"/>
        <v>15297.271749901342</v>
      </c>
      <c r="M13" s="24">
        <f>K13/(1+Summary!$G$16)^($A13-1)</f>
        <v>-733.58056622692277</v>
      </c>
      <c r="N13" s="24">
        <f t="shared" si="6"/>
        <v>14962.931759827678</v>
      </c>
    </row>
    <row r="14" spans="1:14" x14ac:dyDescent="0.4">
      <c r="A14" s="23">
        <v>12</v>
      </c>
      <c r="B14" s="42">
        <f>B13*(1-Summary!$G$19)</f>
        <v>132565.34954026708</v>
      </c>
      <c r="C14" s="25">
        <f>IF(A14&gt;Summary!$E$31,0,(C13*(1+Summary!$E$29)))</f>
        <v>9.3999097714635715E-2</v>
      </c>
      <c r="D14" s="24">
        <f t="shared" si="2"/>
        <v>-12461.023245010405</v>
      </c>
      <c r="E14" s="41">
        <f>E13*(1+Summary!$G$15)</f>
        <v>8.6934531778801769E-2</v>
      </c>
      <c r="F14" s="41">
        <f t="shared" si="3"/>
        <v>11524.506592376312</v>
      </c>
      <c r="G14" s="22"/>
      <c r="H14" s="24">
        <f t="shared" si="7"/>
        <v>0</v>
      </c>
      <c r="I14" s="24">
        <f>I13*(1-Summary!$G$19)*(1+Summary!$G$15)</f>
        <v>0</v>
      </c>
      <c r="J14" s="24">
        <f t="shared" si="1"/>
        <v>12461.023245010405</v>
      </c>
      <c r="K14" s="24">
        <f t="shared" si="4"/>
        <v>-936.51665263409268</v>
      </c>
      <c r="L14" s="24">
        <f t="shared" si="5"/>
        <v>14360.755097267249</v>
      </c>
      <c r="M14" s="24">
        <f>K14/(1+Summary!$G$16)^($A14-1)</f>
        <v>-676.55955575192081</v>
      </c>
      <c r="N14" s="24">
        <f t="shared" si="6"/>
        <v>14286.372204075757</v>
      </c>
    </row>
    <row r="15" spans="1:14" x14ac:dyDescent="0.4">
      <c r="A15" s="23">
        <v>13</v>
      </c>
      <c r="B15" s="42">
        <f>B14*(1-Summary!$G$19)</f>
        <v>131902.52279256575</v>
      </c>
      <c r="C15" s="25">
        <f>IF(A15&gt;Summary!$E$31,0,(C14*(1+Summary!$E$29)))</f>
        <v>9.5879079668928432E-2</v>
      </c>
      <c r="D15" s="24">
        <f t="shared" si="2"/>
        <v>-12646.69249136106</v>
      </c>
      <c r="E15" s="41">
        <f>E14*(1+Summary!$G$15)</f>
        <v>8.9168749245516973E-2</v>
      </c>
      <c r="F15" s="41">
        <f t="shared" si="3"/>
        <v>11761.582979741383</v>
      </c>
      <c r="G15" s="22"/>
      <c r="H15" s="24">
        <f t="shared" si="7"/>
        <v>0</v>
      </c>
      <c r="I15" s="24">
        <f>I14*(1-Summary!$G$19)*(1+Summary!$G$15)</f>
        <v>0</v>
      </c>
      <c r="J15" s="24">
        <f t="shared" si="1"/>
        <v>12646.69249136106</v>
      </c>
      <c r="K15" s="24">
        <f t="shared" si="4"/>
        <v>-885.10951161967751</v>
      </c>
      <c r="L15" s="24">
        <f t="shared" si="5"/>
        <v>13475.645585647571</v>
      </c>
      <c r="M15" s="24">
        <f>K15/(1+Summary!$G$16)^($A15-1)</f>
        <v>-620.79800321747041</v>
      </c>
      <c r="N15" s="24">
        <f t="shared" si="6"/>
        <v>13665.574200858286</v>
      </c>
    </row>
    <row r="16" spans="1:14" x14ac:dyDescent="0.4">
      <c r="A16" s="23">
        <v>14</v>
      </c>
      <c r="B16" s="42">
        <f>B15*(1-Summary!$G$19)</f>
        <v>131243.01017860291</v>
      </c>
      <c r="C16" s="25">
        <f>IF(A16&gt;Summary!$E$31,0,(C15*(1+Summary!$E$29)))</f>
        <v>9.7796661262307003E-2</v>
      </c>
      <c r="D16" s="24">
        <f t="shared" si="2"/>
        <v>-12835.128209482338</v>
      </c>
      <c r="E16" s="41">
        <f>E15*(1+Summary!$G$15)</f>
        <v>9.1460386101126764E-2</v>
      </c>
      <c r="F16" s="41">
        <f t="shared" si="3"/>
        <v>12003.536384009132</v>
      </c>
      <c r="G16" s="22"/>
      <c r="H16" s="24">
        <f t="shared" si="7"/>
        <v>0</v>
      </c>
      <c r="I16" s="24">
        <f>I15*(1-Summary!$G$19)*(1+Summary!$G$15)</f>
        <v>0</v>
      </c>
      <c r="J16" s="24">
        <f t="shared" si="1"/>
        <v>12835.128209482338</v>
      </c>
      <c r="K16" s="24">
        <f t="shared" si="4"/>
        <v>-831.59182547320597</v>
      </c>
      <c r="L16" s="24">
        <f t="shared" si="5"/>
        <v>12644.053760174365</v>
      </c>
      <c r="M16" s="24">
        <f>K16/(1+Summary!$G$16)^($A16-1)</f>
        <v>-566.2735678833526</v>
      </c>
      <c r="N16" s="24">
        <f t="shared" si="6"/>
        <v>13099.300632974933</v>
      </c>
    </row>
    <row r="17" spans="1:15" x14ac:dyDescent="0.4">
      <c r="A17" s="43">
        <v>15</v>
      </c>
      <c r="B17" s="44">
        <f>B16*(1-Summary!$G$19)</f>
        <v>130586.79512770989</v>
      </c>
      <c r="C17" s="45">
        <f>IF(A17&gt;Summary!$E$31,0,(C16*(1+Summary!$E$29)))</f>
        <v>9.9752594487553151E-2</v>
      </c>
      <c r="D17" s="46">
        <f t="shared" si="2"/>
        <v>-13026.371619803625</v>
      </c>
      <c r="E17" s="47">
        <f>E16*(1+Summary!$G$15)</f>
        <v>9.381091802392573E-2</v>
      </c>
      <c r="F17" s="47">
        <f t="shared" si="3"/>
        <v>12250.467132732776</v>
      </c>
      <c r="G17" s="48"/>
      <c r="H17" s="46">
        <f t="shared" si="7"/>
        <v>0</v>
      </c>
      <c r="I17" s="46">
        <f>I16*(1-Summary!$G$19)*(1+Summary!$G$15)</f>
        <v>0</v>
      </c>
      <c r="J17" s="46">
        <f t="shared" si="1"/>
        <v>13026.371619803625</v>
      </c>
      <c r="K17" s="81">
        <f t="shared" si="4"/>
        <v>-775.90448707084943</v>
      </c>
      <c r="L17" s="46">
        <f t="shared" si="5"/>
        <v>11868.149273103516</v>
      </c>
      <c r="M17" s="46">
        <f>K17/(1+Summary!$G$16)^($A17-1)</f>
        <v>-512.96427201710117</v>
      </c>
      <c r="N17" s="46">
        <f t="shared" si="6"/>
        <v>12586.336360957832</v>
      </c>
    </row>
    <row r="18" spans="1:15" x14ac:dyDescent="0.4">
      <c r="A18" s="23">
        <v>16</v>
      </c>
      <c r="B18" s="42">
        <f>B17*(1-Summary!$G$19)</f>
        <v>129933.86115207135</v>
      </c>
      <c r="C18" s="25">
        <f>IF(A18&gt;Summary!$E$31,0,(C17*(1+Summary!$E$29)))</f>
        <v>0.10174764637730421</v>
      </c>
      <c r="D18" s="24">
        <f t="shared" si="2"/>
        <v>-13220.464556938701</v>
      </c>
      <c r="E18" s="41">
        <f>E17*(1+Summary!$G$15)</f>
        <v>9.6221858617140624E-2</v>
      </c>
      <c r="F18" s="41">
        <f t="shared" si="3"/>
        <v>12502.47761735379</v>
      </c>
      <c r="G18" s="22"/>
      <c r="H18" s="24">
        <f t="shared" si="7"/>
        <v>0</v>
      </c>
      <c r="I18" s="24">
        <f>I17*(1-Summary!$G$19)*(1+Summary!$G$15)</f>
        <v>0</v>
      </c>
      <c r="J18" s="24">
        <f t="shared" si="1"/>
        <v>13220.464556938701</v>
      </c>
      <c r="K18" s="24">
        <f t="shared" si="4"/>
        <v>-717.98693958491094</v>
      </c>
      <c r="L18" s="24">
        <f t="shared" si="5"/>
        <v>11150.162333518605</v>
      </c>
      <c r="M18" s="24">
        <f>K18/(1+Summary!$G$16)^($A18-1)</f>
        <v>-460.84849524738041</v>
      </c>
      <c r="N18" s="24">
        <f t="shared" si="6"/>
        <v>12125.487865710451</v>
      </c>
    </row>
    <row r="19" spans="1:15" x14ac:dyDescent="0.4">
      <c r="A19" s="23">
        <v>17</v>
      </c>
      <c r="B19" s="42">
        <f>B18*(1-Summary!$G$19)</f>
        <v>129284.19184631099</v>
      </c>
      <c r="C19" s="25">
        <f>IF(A19&gt;Summary!$E$31,0,(C18*(1+Summary!$E$29)))</f>
        <v>0.1037825993048503</v>
      </c>
      <c r="D19" s="24">
        <f t="shared" si="2"/>
        <v>-13417.449478837088</v>
      </c>
      <c r="E19" s="41">
        <f>E18*(1+Summary!$G$15)</f>
        <v>9.8694760383601143E-2</v>
      </c>
      <c r="F19" s="41">
        <f t="shared" si="3"/>
        <v>12759.672335659185</v>
      </c>
      <c r="G19" s="22"/>
      <c r="H19" s="24">
        <f t="shared" si="7"/>
        <v>0</v>
      </c>
      <c r="I19" s="24">
        <f>I18*(1-Summary!$G$19)*(1+Summary!$G$15)</f>
        <v>0</v>
      </c>
      <c r="J19" s="24">
        <f t="shared" si="1"/>
        <v>13417.449478837088</v>
      </c>
      <c r="K19" s="24">
        <f t="shared" si="4"/>
        <v>-657.77714317790378</v>
      </c>
      <c r="L19" s="24">
        <f t="shared" si="5"/>
        <v>10492.385190340701</v>
      </c>
      <c r="M19" s="24">
        <f>K19/(1+Summary!$G$16)^($A19-1)</f>
        <v>-409.90496900312525</v>
      </c>
      <c r="N19" s="24">
        <f t="shared" si="6"/>
        <v>11715.582896707325</v>
      </c>
    </row>
    <row r="20" spans="1:15" x14ac:dyDescent="0.4">
      <c r="A20" s="23">
        <v>18</v>
      </c>
      <c r="B20" s="42">
        <f>B19*(1-Summary!$G$19)</f>
        <v>128637.77088707943</v>
      </c>
      <c r="C20" s="25">
        <f>IF(A20&gt;Summary!$E$31,0,(C19*(1+Summary!$E$29)))</f>
        <v>0.10585825129094731</v>
      </c>
      <c r="D20" s="24">
        <f t="shared" si="2"/>
        <v>-13617.369476071761</v>
      </c>
      <c r="E20" s="41">
        <f>E19*(1+Summary!$G$15)</f>
        <v>0.10123121572545969</v>
      </c>
      <c r="F20" s="41">
        <f t="shared" si="3"/>
        <v>13022.157935112196</v>
      </c>
      <c r="G20" s="22"/>
      <c r="H20" s="24">
        <f t="shared" si="7"/>
        <v>0</v>
      </c>
      <c r="I20" s="24">
        <f>I19*(1-Summary!$G$19)*(1+Summary!$G$15)</f>
        <v>0</v>
      </c>
      <c r="J20" s="24">
        <f t="shared" si="1"/>
        <v>13617.369476071761</v>
      </c>
      <c r="K20" s="24">
        <f t="shared" si="4"/>
        <v>-595.21154095956445</v>
      </c>
      <c r="L20" s="24">
        <f t="shared" si="5"/>
        <v>9897.1736493811368</v>
      </c>
      <c r="M20" s="24">
        <f>K20/(1+Summary!$G$16)^($A20-1)</f>
        <v>-360.11277103714514</v>
      </c>
      <c r="N20" s="24">
        <f t="shared" si="6"/>
        <v>11355.470125670179</v>
      </c>
    </row>
    <row r="21" spans="1:15" x14ac:dyDescent="0.4">
      <c r="A21" s="23">
        <v>19</v>
      </c>
      <c r="B21" s="42">
        <f>B20*(1-Summary!$G$19)</f>
        <v>127994.58203264403</v>
      </c>
      <c r="C21" s="25">
        <f>IF(A21&gt;Summary!$E$31,0,(C20*(1+Summary!$E$29)))</f>
        <v>0.10797541631676626</v>
      </c>
      <c r="D21" s="24">
        <f t="shared" si="2"/>
        <v>-13820.268281265229</v>
      </c>
      <c r="E21" s="41">
        <f>E20*(1+Summary!$G$15)</f>
        <v>0.10383285796960401</v>
      </c>
      <c r="F21" s="41">
        <f t="shared" si="3"/>
        <v>13290.043257074356</v>
      </c>
      <c r="G21" s="22"/>
      <c r="H21" s="24">
        <f t="shared" si="7"/>
        <v>0</v>
      </c>
      <c r="I21" s="24">
        <f>I20*(1-Summary!$G$19)*(1+Summary!$G$15)</f>
        <v>0</v>
      </c>
      <c r="J21" s="24">
        <f t="shared" si="1"/>
        <v>13820.268281265229</v>
      </c>
      <c r="K21" s="24">
        <f t="shared" si="4"/>
        <v>-530.22502419087323</v>
      </c>
      <c r="L21" s="24">
        <f t="shared" si="5"/>
        <v>9366.9486251902636</v>
      </c>
      <c r="M21" s="24">
        <f>K21/(1+Summary!$G$16)^($A21-1)</f>
        <v>-311.45132003293202</v>
      </c>
      <c r="N21" s="24">
        <f t="shared" si="6"/>
        <v>11044.018805637246</v>
      </c>
    </row>
    <row r="22" spans="1:15" x14ac:dyDescent="0.4">
      <c r="A22" s="43">
        <v>20</v>
      </c>
      <c r="B22" s="44">
        <f>B21*(1-Summary!$G$19)</f>
        <v>127354.6091224808</v>
      </c>
      <c r="C22" s="45">
        <f>IF(A22&gt;Summary!$E$31,0,(C21*(1+Summary!$E$29)))</f>
        <v>0.11013492464310158</v>
      </c>
      <c r="D22" s="46">
        <f t="shared" si="2"/>
        <v>-14026.19027865608</v>
      </c>
      <c r="E22" s="47">
        <f>E21*(1+Summary!$G$15)</f>
        <v>0.10650136241942283</v>
      </c>
      <c r="F22" s="47">
        <f t="shared" si="3"/>
        <v>13563.439381937262</v>
      </c>
      <c r="G22" s="48"/>
      <c r="H22" s="46">
        <f t="shared" si="7"/>
        <v>0</v>
      </c>
      <c r="I22" s="46">
        <f>I21*(1-Summary!$G$19)*(1+Summary!$G$15)</f>
        <v>0</v>
      </c>
      <c r="J22" s="46">
        <f t="shared" si="1"/>
        <v>14026.19027865608</v>
      </c>
      <c r="K22" s="81">
        <f t="shared" si="4"/>
        <v>-462.75089671881869</v>
      </c>
      <c r="L22" s="46">
        <f t="shared" si="5"/>
        <v>8904.1977284714449</v>
      </c>
      <c r="M22" s="46">
        <f>K22/(1+Summary!$G$16)^($A22-1)</f>
        <v>-263.90037029343057</v>
      </c>
      <c r="N22" s="46">
        <f t="shared" si="6"/>
        <v>10780.118435343815</v>
      </c>
    </row>
    <row r="23" spans="1:15" x14ac:dyDescent="0.4">
      <c r="A23" s="23">
        <v>21</v>
      </c>
      <c r="B23" s="42">
        <f>B22*(1-Summary!$G$19)</f>
        <v>126717.83607686839</v>
      </c>
      <c r="C23" s="25">
        <f>IF(A23&gt;Summary!$E$31,0,(C22*(1+Summary!$E$29)))</f>
        <v>0.11233762313596361</v>
      </c>
      <c r="D23" s="24">
        <f t="shared" si="2"/>
        <v>-14235.180513808054</v>
      </c>
      <c r="E23" s="41">
        <f>E22*(1+Summary!$G$15)</f>
        <v>0.109238447433602</v>
      </c>
      <c r="F23" s="41">
        <f t="shared" si="3"/>
        <v>13842.459675182783</v>
      </c>
      <c r="G23" s="22"/>
      <c r="H23" s="24">
        <f t="shared" si="7"/>
        <v>0</v>
      </c>
      <c r="I23" s="24">
        <f>I22*(1-Summary!$G$19)*(1+Summary!$G$15)</f>
        <v>0</v>
      </c>
      <c r="J23" s="24">
        <f t="shared" si="1"/>
        <v>14235.180513808054</v>
      </c>
      <c r="K23" s="24">
        <f t="shared" si="4"/>
        <v>-392.72083862527143</v>
      </c>
      <c r="L23" s="24">
        <f t="shared" si="5"/>
        <v>8511.4768898461734</v>
      </c>
      <c r="M23" s="24">
        <f>K23/(1+Summary!$G$16)^($A23-1)</f>
        <v>-217.4400065105371</v>
      </c>
      <c r="N23" s="24">
        <f t="shared" si="6"/>
        <v>10562.678428833278</v>
      </c>
    </row>
    <row r="24" spans="1:15" x14ac:dyDescent="0.4">
      <c r="A24" s="23">
        <v>22</v>
      </c>
      <c r="B24" s="42">
        <f>B23*(1-Summary!$G$19)</f>
        <v>126084.24689648405</v>
      </c>
      <c r="C24" s="25">
        <f>IF(A24&gt;Summary!$E$31,0,(C23*(1+Summary!$E$29)))</f>
        <v>0.11458437559868288</v>
      </c>
      <c r="D24" s="24">
        <f t="shared" si="2"/>
        <v>-14447.284703463794</v>
      </c>
      <c r="E24" s="41">
        <f>E23*(1+Summary!$G$15)</f>
        <v>0.11204587553264558</v>
      </c>
      <c r="F24" s="41">
        <f t="shared" si="3"/>
        <v>14127.219834390808</v>
      </c>
      <c r="G24" s="22"/>
      <c r="H24" s="24">
        <f t="shared" si="7"/>
        <v>0</v>
      </c>
      <c r="I24" s="24">
        <f>I23*(1-Summary!$G$19)*(1+Summary!$G$15)</f>
        <v>0</v>
      </c>
      <c r="J24" s="24">
        <f t="shared" si="1"/>
        <v>14447.284703463794</v>
      </c>
      <c r="K24" s="24">
        <f t="shared" si="4"/>
        <v>-320.06486907298677</v>
      </c>
      <c r="L24" s="24">
        <f t="shared" si="5"/>
        <v>8191.4120207731867</v>
      </c>
      <c r="M24" s="24">
        <f>K24/(1+Summary!$G$16)^($A24-1)</f>
        <v>-172.05063861411313</v>
      </c>
      <c r="N24" s="24">
        <f t="shared" si="6"/>
        <v>10390.627790219165</v>
      </c>
    </row>
    <row r="25" spans="1:15" x14ac:dyDescent="0.4">
      <c r="A25" s="23">
        <v>23</v>
      </c>
      <c r="B25" s="42">
        <f>B24*(1-Summary!$G$19)</f>
        <v>125453.82566200163</v>
      </c>
      <c r="C25" s="25">
        <f>IF(A25&gt;Summary!$E$31,0,(C24*(1+Summary!$E$29)))</f>
        <v>0.11687606311065654</v>
      </c>
      <c r="D25" s="24">
        <f t="shared" si="2"/>
        <v>-14662.549245545406</v>
      </c>
      <c r="E25" s="41">
        <f>E24*(1+Summary!$G$15)</f>
        <v>0.11492545453383458</v>
      </c>
      <c r="F25" s="41">
        <f t="shared" si="3"/>
        <v>14417.837937213979</v>
      </c>
      <c r="G25" s="22"/>
      <c r="H25" s="24">
        <f t="shared" si="7"/>
        <v>0</v>
      </c>
      <c r="I25" s="24">
        <f>I24*(1-Summary!$G$19)*(1+Summary!$G$15)</f>
        <v>0</v>
      </c>
      <c r="J25" s="24">
        <f t="shared" si="1"/>
        <v>14662.549245545406</v>
      </c>
      <c r="K25" s="24">
        <f t="shared" si="4"/>
        <v>-244.71130833142706</v>
      </c>
      <c r="L25" s="24">
        <f t="shared" si="5"/>
        <v>7946.7007124417596</v>
      </c>
      <c r="M25" s="24">
        <f>K25/(1+Summary!$G$16)^($A25-1)</f>
        <v>-127.71299669933796</v>
      </c>
      <c r="N25" s="24">
        <f t="shared" si="6"/>
        <v>10262.914793519827</v>
      </c>
    </row>
    <row r="26" spans="1:15" x14ac:dyDescent="0.4">
      <c r="A26" s="23">
        <v>24</v>
      </c>
      <c r="B26" s="42">
        <f>B25*(1-Summary!$G$19)</f>
        <v>124826.55653369162</v>
      </c>
      <c r="C26" s="25">
        <f>IF(A26&gt;Summary!$E$31,0,(C25*(1+Summary!$E$29)))</f>
        <v>0.11921358437286968</v>
      </c>
      <c r="D26" s="24">
        <f t="shared" si="2"/>
        <v>-14881.021229304033</v>
      </c>
      <c r="E26" s="41">
        <f>E25*(1+Summary!$G$15)</f>
        <v>0.11787903871535414</v>
      </c>
      <c r="F26" s="41">
        <f t="shared" si="3"/>
        <v>14714.434490339378</v>
      </c>
      <c r="G26" s="22"/>
      <c r="H26" s="24">
        <f t="shared" si="7"/>
        <v>0</v>
      </c>
      <c r="I26" s="24">
        <f>I25*(1-Summary!$G$19)*(1+Summary!$G$15)</f>
        <v>0</v>
      </c>
      <c r="J26" s="24">
        <f t="shared" si="1"/>
        <v>14881.021229304033</v>
      </c>
      <c r="K26" s="24">
        <f t="shared" si="4"/>
        <v>-166.58673896465552</v>
      </c>
      <c r="L26" s="24">
        <f t="shared" si="5"/>
        <v>7780.1139734771041</v>
      </c>
      <c r="M26" s="24">
        <f>K26/(1+Summary!$G$16)^($A26-1)</f>
        <v>-84.408126031202443</v>
      </c>
      <c r="N26" s="24">
        <f t="shared" si="6"/>
        <v>10178.506667488624</v>
      </c>
    </row>
    <row r="27" spans="1:15" x14ac:dyDescent="0.4">
      <c r="A27" s="43">
        <v>25</v>
      </c>
      <c r="B27" s="44">
        <f>B26*(1-Summary!$G$19)</f>
        <v>124202.42375102316</v>
      </c>
      <c r="C27" s="45">
        <f>IF(A27&gt;Summary!$E$31,0,(C26*(1+Summary!$E$29)))</f>
        <v>0.12159785606032707</v>
      </c>
      <c r="D27" s="46">
        <f t="shared" si="2"/>
        <v>-15102.748445620662</v>
      </c>
      <c r="E27" s="47">
        <f>E26*(1+Summary!$G$15)</f>
        <v>0.12090853001033874</v>
      </c>
      <c r="F27" s="47">
        <f t="shared" si="3"/>
        <v>15017.132479457394</v>
      </c>
      <c r="G27" s="48"/>
      <c r="H27" s="46">
        <f t="shared" si="7"/>
        <v>0</v>
      </c>
      <c r="I27" s="46">
        <f>I26*(1-Summary!$G$19)*(1+Summary!$G$15)</f>
        <v>0</v>
      </c>
      <c r="J27" s="46">
        <f t="shared" si="1"/>
        <v>15102.748445620662</v>
      </c>
      <c r="K27" s="81">
        <f t="shared" si="4"/>
        <v>-85.61596616326824</v>
      </c>
      <c r="L27" s="46">
        <f t="shared" si="5"/>
        <v>7694.4980073138358</v>
      </c>
      <c r="M27" s="46">
        <f>K27/(1+Summary!$G$16)^($A27-1)</f>
        <v>-42.117382125013563</v>
      </c>
      <c r="N27" s="46">
        <f t="shared" si="6"/>
        <v>10136.38928536361</v>
      </c>
    </row>
    <row r="28" spans="1:15" x14ac:dyDescent="0.4">
      <c r="A28" s="23">
        <v>26</v>
      </c>
      <c r="B28" s="42">
        <f>B27*(1-Summary!$G$19)</f>
        <v>123581.41163226805</v>
      </c>
      <c r="C28" s="25">
        <f>IF(A28&gt;Summary!$E$31,0,(C27*(1+Summary!$E$29)))</f>
        <v>0</v>
      </c>
      <c r="D28" s="24">
        <f t="shared" si="2"/>
        <v>0</v>
      </c>
      <c r="E28" s="41">
        <f>E27*(1+Summary!$G$15)</f>
        <v>0.12401587923160445</v>
      </c>
      <c r="F28" s="41">
        <f t="shared" si="3"/>
        <v>15326.057420258552</v>
      </c>
      <c r="G28" s="22"/>
      <c r="H28" s="24">
        <f t="shared" si="7"/>
        <v>0</v>
      </c>
      <c r="I28" s="24">
        <f>I27*(1-Summary!$G$19)*(1+Summary!$G$15)</f>
        <v>0</v>
      </c>
      <c r="J28" s="24">
        <f t="shared" si="1"/>
        <v>0</v>
      </c>
      <c r="K28" s="24">
        <f t="shared" si="4"/>
        <v>15326.057420258552</v>
      </c>
      <c r="L28" s="24">
        <f t="shared" si="5"/>
        <v>23020.555427572388</v>
      </c>
      <c r="M28" s="24">
        <f>K28/(1+Summary!$G$16)^($A28-1)</f>
        <v>7319.8103787394693</v>
      </c>
      <c r="N28" s="24">
        <f t="shared" si="6"/>
        <v>17456.199664103078</v>
      </c>
    </row>
    <row r="29" spans="1:15" x14ac:dyDescent="0.4">
      <c r="A29" s="23">
        <v>27</v>
      </c>
      <c r="B29" s="42">
        <f>B28*(1-Summary!$G$19)</f>
        <v>122963.50457410672</v>
      </c>
      <c r="C29" s="25">
        <f>IF(A29&gt;Summary!$E$31,0,(C28*(1+Summary!$E$29)))</f>
        <v>0</v>
      </c>
      <c r="D29" s="24">
        <f t="shared" si="2"/>
        <v>0</v>
      </c>
      <c r="E29" s="41">
        <f>E28*(1+Summary!$G$15)</f>
        <v>0.12720308732785671</v>
      </c>
      <c r="F29" s="41">
        <f t="shared" si="3"/>
        <v>15641.337410479404</v>
      </c>
      <c r="G29" s="22"/>
      <c r="H29" s="24">
        <f t="shared" si="7"/>
        <v>0</v>
      </c>
      <c r="I29" s="24">
        <f>I28*(1-Summary!$G$19)*(1+Summary!$G$15)</f>
        <v>0</v>
      </c>
      <c r="J29" s="24">
        <f t="shared" si="1"/>
        <v>0</v>
      </c>
      <c r="K29" s="24">
        <f t="shared" si="4"/>
        <v>15641.337410479404</v>
      </c>
      <c r="L29" s="24">
        <f t="shared" si="5"/>
        <v>38661.89283805179</v>
      </c>
      <c r="M29" s="24">
        <f>K29/(1+Summary!$G$16)^($A29-1)</f>
        <v>7252.8056873259302</v>
      </c>
      <c r="N29" s="24">
        <f t="shared" si="6"/>
        <v>24709.005351429008</v>
      </c>
    </row>
    <row r="30" spans="1:15" x14ac:dyDescent="0.4">
      <c r="A30" s="23">
        <v>28</v>
      </c>
      <c r="B30" s="42">
        <f>B29*(1-Summary!$G$19)</f>
        <v>122348.68705123618</v>
      </c>
      <c r="C30" s="25">
        <f>IF(A30&gt;Summary!$E$31,0,(C29*(1+Summary!$E$29)))</f>
        <v>0</v>
      </c>
      <c r="D30" s="24">
        <f t="shared" si="2"/>
        <v>0</v>
      </c>
      <c r="E30" s="41">
        <f>E29*(1+Summary!$G$15)</f>
        <v>0.13047220667218262</v>
      </c>
      <c r="F30" s="41">
        <f t="shared" si="3"/>
        <v>15963.10318301908</v>
      </c>
      <c r="G30" s="22"/>
      <c r="H30" s="24">
        <f t="shared" si="7"/>
        <v>0</v>
      </c>
      <c r="I30" s="24">
        <f>I29*(1-Summary!$G$19)*(1+Summary!$G$15)</f>
        <v>0</v>
      </c>
      <c r="J30" s="24">
        <f t="shared" si="1"/>
        <v>0</v>
      </c>
      <c r="K30" s="24">
        <f t="shared" si="4"/>
        <v>15963.10318301908</v>
      </c>
      <c r="L30" s="24">
        <f t="shared" si="5"/>
        <v>54624.996021070867</v>
      </c>
      <c r="M30" s="24">
        <f>K30/(1+Summary!$G$16)^($A30-1)</f>
        <v>7186.4143490512197</v>
      </c>
      <c r="N30" s="24">
        <f t="shared" si="6"/>
        <v>31895.419700480226</v>
      </c>
    </row>
    <row r="31" spans="1:15" x14ac:dyDescent="0.4">
      <c r="A31" s="23">
        <v>29</v>
      </c>
      <c r="B31" s="42">
        <f>B30*(1-Summary!$G$19)</f>
        <v>121736.94361598</v>
      </c>
      <c r="C31" s="25">
        <f>IF(A31&gt;Summary!$E$31,0,(C30*(1+Summary!$E$29)))</f>
        <v>0</v>
      </c>
      <c r="D31" s="24">
        <f t="shared" si="2"/>
        <v>0</v>
      </c>
      <c r="E31" s="41">
        <f>E30*(1+Summary!$G$15)</f>
        <v>0.13382534238365773</v>
      </c>
      <c r="F31" s="41">
        <f t="shared" si="3"/>
        <v>16291.488160148559</v>
      </c>
      <c r="G31" s="22"/>
      <c r="H31" s="24">
        <f t="shared" si="7"/>
        <v>0</v>
      </c>
      <c r="I31" s="24">
        <f>I30*(1-Summary!$G$19)*(1+Summary!$G$15)</f>
        <v>0</v>
      </c>
      <c r="J31" s="24">
        <f t="shared" si="1"/>
        <v>0</v>
      </c>
      <c r="K31" s="24">
        <f t="shared" si="4"/>
        <v>16291.488160148559</v>
      </c>
      <c r="L31" s="24">
        <f t="shared" si="5"/>
        <v>70916.484181219421</v>
      </c>
      <c r="M31" s="24">
        <f>K31/(1+Summary!$G$16)^($A31-1)</f>
        <v>7120.6307493521626</v>
      </c>
      <c r="N31" s="24">
        <f t="shared" si="6"/>
        <v>39016.050449832386</v>
      </c>
    </row>
    <row r="32" spans="1:15" x14ac:dyDescent="0.4">
      <c r="A32" s="43">
        <v>30</v>
      </c>
      <c r="B32" s="44">
        <f>B31*(1-Summary!$G$19)</f>
        <v>121128.2588979001</v>
      </c>
      <c r="C32" s="45">
        <f>IF(A32&gt;Summary!$E$31,0,(C31*(1+Summary!$E$29)))</f>
        <v>0</v>
      </c>
      <c r="D32" s="46">
        <f t="shared" si="2"/>
        <v>0</v>
      </c>
      <c r="E32" s="47">
        <f>E31*(1+Summary!$G$15)</f>
        <v>0.13726465368291774</v>
      </c>
      <c r="F32" s="47">
        <f t="shared" si="3"/>
        <v>16626.628508835056</v>
      </c>
      <c r="G32" s="48"/>
      <c r="H32" s="46">
        <f t="shared" si="7"/>
        <v>0</v>
      </c>
      <c r="I32" s="46">
        <f>I31*(1-Summary!$G$19)*(1+Summary!$G$15)</f>
        <v>0</v>
      </c>
      <c r="J32" s="46">
        <f t="shared" si="1"/>
        <v>0</v>
      </c>
      <c r="K32" s="81">
        <f t="shared" si="4"/>
        <v>16626.628508835056</v>
      </c>
      <c r="L32" s="46">
        <f t="shared" si="5"/>
        <v>87543.112690054477</v>
      </c>
      <c r="M32" s="46">
        <f>K32/(1+Summary!$G$16)^($A32-1)</f>
        <v>7055.4493250606429</v>
      </c>
      <c r="N32" s="46">
        <f t="shared" si="6"/>
        <v>46071.499774893033</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E4B53A"/>
  </sheetPr>
  <dimension ref="A1:AD1102"/>
  <sheetViews>
    <sheetView topLeftCell="A2" workbookViewId="0">
      <selection activeCell="J38" sqref="J38"/>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60" t="str">
        <f>Summary!F24</f>
        <v>EXAMPLE SITE 3</v>
      </c>
      <c r="C1" s="19"/>
      <c r="D1" s="19"/>
      <c r="E1" s="19"/>
      <c r="F1" s="19"/>
      <c r="G1" s="19"/>
      <c r="H1" s="19"/>
      <c r="I1" s="19"/>
      <c r="J1" s="19"/>
      <c r="K1" s="19"/>
      <c r="L1" s="20"/>
      <c r="M1" s="20"/>
      <c r="N1" s="20"/>
    </row>
    <row r="2" spans="1:14" ht="58.3" x14ac:dyDescent="0.4">
      <c r="A2" s="40"/>
      <c r="B2" s="40" t="s">
        <v>45</v>
      </c>
      <c r="C2" s="53" t="s">
        <v>38</v>
      </c>
      <c r="D2" s="53" t="s">
        <v>32</v>
      </c>
      <c r="E2" s="54" t="s">
        <v>46</v>
      </c>
      <c r="F2" s="54" t="s">
        <v>39</v>
      </c>
      <c r="G2" s="55" t="s">
        <v>155</v>
      </c>
      <c r="H2" s="55" t="s">
        <v>156</v>
      </c>
      <c r="I2" s="55" t="s">
        <v>114</v>
      </c>
      <c r="J2" s="40" t="s">
        <v>47</v>
      </c>
      <c r="K2" s="40" t="s">
        <v>33</v>
      </c>
      <c r="L2" s="40" t="s">
        <v>34</v>
      </c>
      <c r="M2" s="40" t="s">
        <v>35</v>
      </c>
      <c r="N2" s="40" t="s">
        <v>36</v>
      </c>
    </row>
    <row r="3" spans="1:14" x14ac:dyDescent="0.4">
      <c r="A3" s="23">
        <v>1</v>
      </c>
      <c r="B3" s="42">
        <f>Summary!F27</f>
        <v>417884</v>
      </c>
      <c r="C3" s="25">
        <f>Summary!F28</f>
        <v>8.5099999999999995E-2</v>
      </c>
      <c r="D3" s="24">
        <f>B3*C3*-1</f>
        <v>-35561.928399999997</v>
      </c>
      <c r="E3" s="41">
        <f>VLOOKUP(Summary!F25,Summary!V4:AF6,11,FALSE)</f>
        <v>6.5761E-2</v>
      </c>
      <c r="F3" s="41">
        <f>B3*E3</f>
        <v>27480.469723999999</v>
      </c>
      <c r="G3" s="22">
        <f>IF(Summary!$F$26&lt;=40,Summary!$G$18,Summary!$G$17)</f>
        <v>3.4267199999999998E-2</v>
      </c>
      <c r="H3" s="75">
        <f t="shared" ref="H3:H12" si="0">G3*B3</f>
        <v>14319.7146048</v>
      </c>
      <c r="I3" s="75">
        <f>IFERROR('Demand Charge Calculations'!B52,0)</f>
        <v>0</v>
      </c>
      <c r="J3" s="24">
        <f t="shared" ref="J3:J32" si="1">D3*-1-H3</f>
        <v>21242.213795199998</v>
      </c>
      <c r="K3" s="24">
        <f>F3+D3+H3+I3</f>
        <v>6238.2559288000011</v>
      </c>
      <c r="L3" s="24">
        <f>K3</f>
        <v>6238.2559288000011</v>
      </c>
      <c r="M3" s="24">
        <f>K3/(1+Summary!$G$16)^($A3-1)</f>
        <v>6238.2559288000011</v>
      </c>
      <c r="N3" s="24">
        <f>M3</f>
        <v>6238.2559288000011</v>
      </c>
    </row>
    <row r="4" spans="1:14" x14ac:dyDescent="0.4">
      <c r="A4" s="23">
        <v>2</v>
      </c>
      <c r="B4" s="42">
        <f>B3*(1-Summary!$G$19)</f>
        <v>415794.58</v>
      </c>
      <c r="C4" s="25">
        <f>IF(A4&gt;Summary!$F$31,0,(C3*(1+Summary!$F$29)))</f>
        <v>8.64616E-2</v>
      </c>
      <c r="D4" s="24">
        <f t="shared" ref="D4:D32" si="2">B4*C4*-1</f>
        <v>-35950.264658127999</v>
      </c>
      <c r="E4" s="41">
        <f>E3*(1+Summary!$G$15)</f>
        <v>6.7451057699999997E-2</v>
      </c>
      <c r="F4" s="41">
        <f t="shared" ref="F4:F32" si="3">B4*E4</f>
        <v>28045.784206927266</v>
      </c>
      <c r="G4" s="22">
        <f>IF(Summary!$F$26&lt;=40,Summary!$G$18,Summary!$G$17)</f>
        <v>3.4267199999999998E-2</v>
      </c>
      <c r="H4" s="75">
        <f t="shared" si="0"/>
        <v>14248.116031776</v>
      </c>
      <c r="I4" s="75">
        <f>I3*(1-Summary!$G$19)*(1+Summary!$G$15)</f>
        <v>0</v>
      </c>
      <c r="J4" s="24">
        <f t="shared" si="1"/>
        <v>21702.148626351998</v>
      </c>
      <c r="K4" s="24">
        <f t="shared" ref="K4:K32" si="4">F4+D4+H4+I4</f>
        <v>6343.6355805752682</v>
      </c>
      <c r="L4" s="24">
        <f t="shared" ref="L4:L32" si="5">L3+K4</f>
        <v>12581.891509375269</v>
      </c>
      <c r="M4" s="24">
        <f>K4/(1+Summary!$G$16)^($A4-1)</f>
        <v>6158.8694957041434</v>
      </c>
      <c r="N4" s="24">
        <f>M4+N3</f>
        <v>12397.125424504145</v>
      </c>
    </row>
    <row r="5" spans="1:14" x14ac:dyDescent="0.4">
      <c r="A5" s="23">
        <v>3</v>
      </c>
      <c r="B5" s="42">
        <f>B4*(1-Summary!$G$19)</f>
        <v>413715.60710000002</v>
      </c>
      <c r="C5" s="25">
        <f>IF(A5&gt;Summary!$F$31,0,(C4*(1+Summary!$F$29)))</f>
        <v>8.7844985599999995E-2</v>
      </c>
      <c r="D5" s="24">
        <f t="shared" si="2"/>
        <v>-36342.84154819476</v>
      </c>
      <c r="E5" s="41">
        <f>E4*(1+Summary!$G$15)</f>
        <v>6.9184549882889995E-2</v>
      </c>
      <c r="F5" s="41">
        <f t="shared" si="3"/>
        <v>28622.72805674007</v>
      </c>
      <c r="G5" s="22">
        <f>IF(Summary!$F$26&lt;=40,Summary!$G$18,Summary!$G$17)</f>
        <v>3.4267199999999998E-2</v>
      </c>
      <c r="H5" s="75">
        <f t="shared" si="0"/>
        <v>14176.875451617119</v>
      </c>
      <c r="I5" s="75">
        <f>I4*(1-Summary!$G$19)*(1+Summary!$G$15)</f>
        <v>0</v>
      </c>
      <c r="J5" s="24">
        <f t="shared" si="1"/>
        <v>22165.966096577642</v>
      </c>
      <c r="K5" s="24">
        <f t="shared" si="4"/>
        <v>6456.7619601624301</v>
      </c>
      <c r="L5" s="24">
        <f t="shared" si="5"/>
        <v>19038.653469537698</v>
      </c>
      <c r="M5" s="24">
        <f>K5/(1+Summary!$G$16)^($A5-1)</f>
        <v>6086.117409899548</v>
      </c>
      <c r="N5" s="24">
        <f t="shared" ref="N5:N32" si="6">M5+N4</f>
        <v>18483.242834403693</v>
      </c>
    </row>
    <row r="6" spans="1:14" x14ac:dyDescent="0.4">
      <c r="A6" s="23">
        <v>4</v>
      </c>
      <c r="B6" s="42">
        <f>B5*(1-Summary!$G$19)</f>
        <v>411647.02906450001</v>
      </c>
      <c r="C6" s="25">
        <f>IF(A6&gt;Summary!$F$31,0,(C5*(1+Summary!$F$29)))</f>
        <v>8.9250505369599997E-2</v>
      </c>
      <c r="D6" s="24">
        <f t="shared" si="2"/>
        <v>-36739.705377901046</v>
      </c>
      <c r="E6" s="41">
        <f>E5*(1+Summary!$G$15)</f>
        <v>7.0962592814880265E-2</v>
      </c>
      <c r="F6" s="41">
        <f t="shared" si="3"/>
        <v>29211.540506959296</v>
      </c>
      <c r="G6" s="22">
        <f>IF(Summary!$F$26&lt;=40,Summary!$G$18,Summary!$G$17)</f>
        <v>3.4267199999999998E-2</v>
      </c>
      <c r="H6" s="75">
        <f t="shared" si="0"/>
        <v>14105.991074359034</v>
      </c>
      <c r="I6" s="75">
        <f>I5*(1-Summary!$G$19)*(1+Summary!$G$15)</f>
        <v>0</v>
      </c>
      <c r="J6" s="24">
        <f t="shared" si="1"/>
        <v>22633.714303542012</v>
      </c>
      <c r="K6" s="24">
        <f t="shared" si="4"/>
        <v>6577.826203417284</v>
      </c>
      <c r="L6" s="24">
        <f t="shared" si="5"/>
        <v>25616.479672954982</v>
      </c>
      <c r="M6" s="24">
        <f>K6/(1+Summary!$G$16)^($A6-1)</f>
        <v>6019.6427867319871</v>
      </c>
      <c r="N6" s="24">
        <f t="shared" si="6"/>
        <v>24502.88562113568</v>
      </c>
    </row>
    <row r="7" spans="1:14" x14ac:dyDescent="0.4">
      <c r="A7" s="43">
        <v>5</v>
      </c>
      <c r="B7" s="44">
        <f>B6*(1-Summary!$G$19)</f>
        <v>409588.79391917749</v>
      </c>
      <c r="C7" s="45">
        <f>IF(A7&gt;Summary!$F$31,0,(C6*(1+Summary!$F$29)))</f>
        <v>9.0678513455513601E-2</v>
      </c>
      <c r="D7" s="46">
        <f t="shared" si="2"/>
        <v>-37140.902960627725</v>
      </c>
      <c r="E7" s="47">
        <f>E6*(1+Summary!$G$15)</f>
        <v>7.2786331450222688E-2</v>
      </c>
      <c r="F7" s="47">
        <f t="shared" si="3"/>
        <v>29812.465712498208</v>
      </c>
      <c r="G7" s="83">
        <f>IF(Summary!$F$26&lt;=40,Summary!$G$18,Summary!$G$17)</f>
        <v>3.4267199999999998E-2</v>
      </c>
      <c r="H7" s="81">
        <f t="shared" si="0"/>
        <v>14035.461118987238</v>
      </c>
      <c r="I7" s="81">
        <f>I6*(1-Summary!$G$19)*(1+Summary!$G$15)</f>
        <v>0</v>
      </c>
      <c r="J7" s="46">
        <f t="shared" si="1"/>
        <v>23105.441841640488</v>
      </c>
      <c r="K7" s="81">
        <f t="shared" si="4"/>
        <v>6707.0238708577199</v>
      </c>
      <c r="L7" s="46">
        <f t="shared" si="5"/>
        <v>32323.503543812702</v>
      </c>
      <c r="M7" s="46">
        <f>K7/(1+Summary!$G$16)^($A7-1)</f>
        <v>5959.1038393184326</v>
      </c>
      <c r="N7" s="46">
        <f t="shared" si="6"/>
        <v>30461.989460454111</v>
      </c>
    </row>
    <row r="8" spans="1:14" x14ac:dyDescent="0.4">
      <c r="A8" s="23">
        <v>6</v>
      </c>
      <c r="B8" s="42">
        <f>B7*(1-Summary!$G$19)</f>
        <v>407540.84994958161</v>
      </c>
      <c r="C8" s="25">
        <f>IF(A8&gt;Summary!$F$31,0,(C7*(1+Summary!$F$29)))</f>
        <v>9.2129369670801819E-2</v>
      </c>
      <c r="D8" s="24">
        <f t="shared" si="2"/>
        <v>-37546.481620957777</v>
      </c>
      <c r="E8" s="41">
        <f>E7*(1+Summary!$G$15)</f>
        <v>7.4656940168493419E-2</v>
      </c>
      <c r="F8" s="41">
        <f t="shared" si="3"/>
        <v>30425.752850902867</v>
      </c>
      <c r="G8" s="22">
        <f>IF(Summary!$F$26&lt;=40,Summary!$G$18,Summary!$G$17)</f>
        <v>3.4267199999999998E-2</v>
      </c>
      <c r="H8" s="75">
        <f t="shared" si="0"/>
        <v>13965.283813392301</v>
      </c>
      <c r="I8" s="75">
        <f>I7*(1-Summary!$G$19)*(1+Summary!$G$15)</f>
        <v>0</v>
      </c>
      <c r="J8" s="24">
        <f t="shared" si="1"/>
        <v>23581.197807565477</v>
      </c>
      <c r="K8" s="24">
        <f t="shared" si="4"/>
        <v>6844.5550433373919</v>
      </c>
      <c r="L8" s="24">
        <f t="shared" si="5"/>
        <v>39168.058587150095</v>
      </c>
      <c r="M8" s="24">
        <f>K8/(1+Summary!$G$16)^($A8-1)</f>
        <v>5904.1733055837676</v>
      </c>
      <c r="N8" s="24">
        <f t="shared" si="6"/>
        <v>36366.16276603788</v>
      </c>
    </row>
    <row r="9" spans="1:14" x14ac:dyDescent="0.4">
      <c r="A9" s="23">
        <v>7</v>
      </c>
      <c r="B9" s="42">
        <f>B8*(1-Summary!$G$19)</f>
        <v>405503.14569983369</v>
      </c>
      <c r="C9" s="25">
        <f>IF(A9&gt;Summary!$F$31,0,(C8*(1+Summary!$F$29)))</f>
        <v>9.3603439585534645E-2</v>
      </c>
      <c r="D9" s="24">
        <f t="shared" si="2"/>
        <v>-37956.489200258635</v>
      </c>
      <c r="E9" s="41">
        <f>E8*(1+Summary!$G$15)</f>
        <v>7.65756235308237E-2</v>
      </c>
      <c r="F9" s="41">
        <f t="shared" si="3"/>
        <v>31051.656225675215</v>
      </c>
      <c r="G9" s="22">
        <f>IF(Summary!$F$26&lt;=40,Summary!$G$18,0)</f>
        <v>0</v>
      </c>
      <c r="H9" s="75">
        <f t="shared" si="0"/>
        <v>0</v>
      </c>
      <c r="I9" s="75">
        <f>I8*(1-Summary!$G$19)*(1+Summary!$G$15)</f>
        <v>0</v>
      </c>
      <c r="J9" s="24">
        <f t="shared" si="1"/>
        <v>37956.489200258635</v>
      </c>
      <c r="K9" s="24">
        <f t="shared" si="4"/>
        <v>-6904.8329745834199</v>
      </c>
      <c r="L9" s="24">
        <f t="shared" si="5"/>
        <v>32263.225612566675</v>
      </c>
      <c r="M9" s="24">
        <f>K9/(1+Summary!$G$16)^($A9-1)</f>
        <v>-5782.6889112437821</v>
      </c>
      <c r="N9" s="24">
        <f t="shared" si="6"/>
        <v>30583.473854794098</v>
      </c>
    </row>
    <row r="10" spans="1:14" x14ac:dyDescent="0.4">
      <c r="A10" s="23">
        <v>8</v>
      </c>
      <c r="B10" s="42">
        <f>B9*(1-Summary!$G$19)</f>
        <v>403475.62997133454</v>
      </c>
      <c r="C10" s="25">
        <f>IF(A10&gt;Summary!$F$31,0,(C9*(1+Summary!$F$29)))</f>
        <v>9.5101094618903204E-2</v>
      </c>
      <c r="D10" s="24">
        <f t="shared" si="2"/>
        <v>-38370.974062325462</v>
      </c>
      <c r="E10" s="41">
        <f>E9*(1+Summary!$G$15)</f>
        <v>7.8543617055565867E-2</v>
      </c>
      <c r="F10" s="41">
        <f t="shared" si="3"/>
        <v>31690.435371721695</v>
      </c>
      <c r="G10" s="22">
        <f>IF(Summary!$F$26&lt;=40,Summary!$G$18,0)</f>
        <v>0</v>
      </c>
      <c r="H10" s="75">
        <f t="shared" si="0"/>
        <v>0</v>
      </c>
      <c r="I10" s="75">
        <f>I9*(1-Summary!$G$19)*(1+Summary!$G$15)</f>
        <v>0</v>
      </c>
      <c r="J10" s="24">
        <f t="shared" si="1"/>
        <v>38370.974062325462</v>
      </c>
      <c r="K10" s="24">
        <f t="shared" si="4"/>
        <v>-6680.5386906037675</v>
      </c>
      <c r="L10" s="24">
        <f t="shared" si="5"/>
        <v>25582.686921962908</v>
      </c>
      <c r="M10" s="24">
        <f>K10/(1+Summary!$G$16)^($A10-1)</f>
        <v>-5431.8893005307664</v>
      </c>
      <c r="N10" s="24">
        <f t="shared" si="6"/>
        <v>25151.584554263332</v>
      </c>
    </row>
    <row r="11" spans="1:14" x14ac:dyDescent="0.4">
      <c r="A11" s="23">
        <v>9</v>
      </c>
      <c r="B11" s="42">
        <f>B10*(1-Summary!$G$19)</f>
        <v>401458.25182147784</v>
      </c>
      <c r="C11" s="25">
        <f>IF(A11&gt;Summary!$F$31,0,(C10*(1+Summary!$F$29)))</f>
        <v>9.6622712132805655E-2</v>
      </c>
      <c r="D11" s="24">
        <f t="shared" si="2"/>
        <v>-38789.985099086058</v>
      </c>
      <c r="E11" s="41">
        <f>E10*(1+Summary!$G$15)</f>
        <v>8.0562188013893921E-2</v>
      </c>
      <c r="F11" s="41">
        <f t="shared" si="3"/>
        <v>32342.355162971071</v>
      </c>
      <c r="G11" s="22">
        <f>IF(Summary!$F$26&lt;=40,Summary!$G$18,0)</f>
        <v>0</v>
      </c>
      <c r="H11" s="75">
        <f t="shared" si="0"/>
        <v>0</v>
      </c>
      <c r="I11" s="75">
        <f>I10*(1-Summary!$G$19)*(1+Summary!$G$15)</f>
        <v>0</v>
      </c>
      <c r="J11" s="24">
        <f t="shared" si="1"/>
        <v>38789.985099086058</v>
      </c>
      <c r="K11" s="24">
        <f t="shared" si="4"/>
        <v>-6447.6299361149868</v>
      </c>
      <c r="L11" s="24">
        <f t="shared" si="5"/>
        <v>19135.056985847921</v>
      </c>
      <c r="M11" s="24">
        <f>K11/(1+Summary!$G$16)^($A11-1)</f>
        <v>-5089.8186110081424</v>
      </c>
      <c r="N11" s="24">
        <f t="shared" si="6"/>
        <v>20061.765943255188</v>
      </c>
    </row>
    <row r="12" spans="1:14" x14ac:dyDescent="0.4">
      <c r="A12" s="43">
        <v>10</v>
      </c>
      <c r="B12" s="44">
        <f>B11*(1-Summary!$G$19)</f>
        <v>399450.96056237043</v>
      </c>
      <c r="C12" s="45">
        <f>IF(A12&gt;Summary!$F$31,0,(C11*(1+Summary!$F$29)))</f>
        <v>9.8168675526930552E-2</v>
      </c>
      <c r="D12" s="46">
        <f t="shared" si="2"/>
        <v>-39213.571736368074</v>
      </c>
      <c r="E12" s="47">
        <f>E11*(1+Summary!$G$15)</f>
        <v>8.2632636245851002E-2</v>
      </c>
      <c r="F12" s="47">
        <f t="shared" si="3"/>
        <v>33007.685922206132</v>
      </c>
      <c r="G12" s="83">
        <f>IF(Summary!$F$26&lt;=40,Summary!$G$18,0)</f>
        <v>0</v>
      </c>
      <c r="H12" s="81">
        <f t="shared" si="0"/>
        <v>0</v>
      </c>
      <c r="I12" s="81">
        <f>I11*(1-Summary!$G$19)*(1+Summary!$G$15)</f>
        <v>0</v>
      </c>
      <c r="J12" s="46">
        <f t="shared" si="1"/>
        <v>39213.571736368074</v>
      </c>
      <c r="K12" s="81">
        <f t="shared" si="4"/>
        <v>-6205.8858141619421</v>
      </c>
      <c r="L12" s="46">
        <f t="shared" si="5"/>
        <v>12929.171171685979</v>
      </c>
      <c r="M12" s="46">
        <f>K12/(1+Summary!$G$16)^($A12-1)</f>
        <v>-4756.2947269876649</v>
      </c>
      <c r="N12" s="46">
        <f t="shared" si="6"/>
        <v>15305.471216267524</v>
      </c>
    </row>
    <row r="13" spans="1:14" x14ac:dyDescent="0.4">
      <c r="A13" s="23">
        <v>11</v>
      </c>
      <c r="B13" s="42">
        <f>B12*(1-Summary!$G$19)</f>
        <v>397453.70575955859</v>
      </c>
      <c r="C13" s="25">
        <f>IF(A13&gt;Summary!$F$31,0,(C12*(1+Summary!$F$29)))</f>
        <v>9.9739374335361439E-2</v>
      </c>
      <c r="D13" s="24">
        <f t="shared" si="2"/>
        <v>-39641.783939729212</v>
      </c>
      <c r="E13" s="41">
        <f>E12*(1+Summary!$G$15)</f>
        <v>8.4756294997369377E-2</v>
      </c>
      <c r="F13" s="41">
        <f t="shared" si="3"/>
        <v>33686.703533154796</v>
      </c>
      <c r="G13" s="22"/>
      <c r="H13" s="24">
        <f t="shared" ref="H13:H32" si="7">G13*B13</f>
        <v>0</v>
      </c>
      <c r="I13" s="24">
        <f>I12*(1-Summary!$G$19)*(1+Summary!$G$15)</f>
        <v>0</v>
      </c>
      <c r="J13" s="24">
        <f t="shared" si="1"/>
        <v>39641.783939729212</v>
      </c>
      <c r="K13" s="24">
        <f t="shared" si="4"/>
        <v>-5955.080406574416</v>
      </c>
      <c r="L13" s="24">
        <f t="shared" si="5"/>
        <v>6974.0907651115631</v>
      </c>
      <c r="M13" s="24">
        <f>K13/(1+Summary!$G$16)^($A13-1)</f>
        <v>-4431.1390932527393</v>
      </c>
      <c r="N13" s="24">
        <f t="shared" si="6"/>
        <v>10874.332123014785</v>
      </c>
    </row>
    <row r="14" spans="1:14" x14ac:dyDescent="0.4">
      <c r="A14" s="23">
        <v>12</v>
      </c>
      <c r="B14" s="42">
        <f>B13*(1-Summary!$G$19)</f>
        <v>395466.43723076081</v>
      </c>
      <c r="C14" s="25">
        <f>IF(A14&gt;Summary!$F$31,0,(C13*(1+Summary!$F$29)))</f>
        <v>0.10133520432472723</v>
      </c>
      <c r="D14" s="24">
        <f t="shared" si="2"/>
        <v>-40074.672220351065</v>
      </c>
      <c r="E14" s="41">
        <f>E13*(1+Summary!$G$15)</f>
        <v>8.6934531778801769E-2</v>
      </c>
      <c r="F14" s="41">
        <f t="shared" si="3"/>
        <v>34379.689554887089</v>
      </c>
      <c r="G14" s="22"/>
      <c r="H14" s="24">
        <f t="shared" si="7"/>
        <v>0</v>
      </c>
      <c r="I14" s="24">
        <f>I13*(1-Summary!$G$19)*(1+Summary!$G$15)</f>
        <v>0</v>
      </c>
      <c r="J14" s="24">
        <f t="shared" si="1"/>
        <v>40074.672220351065</v>
      </c>
      <c r="K14" s="24">
        <f t="shared" si="4"/>
        <v>-5694.9826654639764</v>
      </c>
      <c r="L14" s="24">
        <f t="shared" si="5"/>
        <v>1279.1080996475866</v>
      </c>
      <c r="M14" s="24">
        <f>K14/(1+Summary!$G$16)^($A14-1)</f>
        <v>-4114.176647392308</v>
      </c>
      <c r="N14" s="24">
        <f t="shared" si="6"/>
        <v>6760.1554756224768</v>
      </c>
    </row>
    <row r="15" spans="1:14" x14ac:dyDescent="0.4">
      <c r="A15" s="23">
        <v>13</v>
      </c>
      <c r="B15" s="42">
        <f>B14*(1-Summary!$G$19)</f>
        <v>393489.10504460701</v>
      </c>
      <c r="C15" s="25">
        <f>IF(A15&gt;Summary!$F$31,0,(C14*(1+Summary!$F$29)))</f>
        <v>0.10295656759392287</v>
      </c>
      <c r="D15" s="24">
        <f t="shared" si="2"/>
        <v>-40512.287640997296</v>
      </c>
      <c r="E15" s="41">
        <f>E14*(1+Summary!$G$15)</f>
        <v>8.9168749245516973E-2</v>
      </c>
      <c r="F15" s="41">
        <f t="shared" si="3"/>
        <v>35086.931338565453</v>
      </c>
      <c r="G15" s="22"/>
      <c r="H15" s="24">
        <f t="shared" si="7"/>
        <v>0</v>
      </c>
      <c r="I15" s="24">
        <f>I14*(1-Summary!$G$19)*(1+Summary!$G$15)</f>
        <v>0</v>
      </c>
      <c r="J15" s="24">
        <f t="shared" si="1"/>
        <v>40512.287640997296</v>
      </c>
      <c r="K15" s="24">
        <f t="shared" si="4"/>
        <v>-5425.3563024318428</v>
      </c>
      <c r="L15" s="24">
        <f t="shared" si="5"/>
        <v>-4146.2482027842561</v>
      </c>
      <c r="M15" s="24">
        <f>K15/(1+Summary!$G$16)^($A15-1)</f>
        <v>-3805.2357534038379</v>
      </c>
      <c r="N15" s="24">
        <f t="shared" si="6"/>
        <v>2954.919722218639</v>
      </c>
    </row>
    <row r="16" spans="1:14" x14ac:dyDescent="0.4">
      <c r="A16" s="23">
        <v>14</v>
      </c>
      <c r="B16" s="42">
        <f>B15*(1-Summary!$G$19)</f>
        <v>391521.65951938397</v>
      </c>
      <c r="C16" s="25">
        <f>IF(A16&gt;Summary!$F$31,0,(C15*(1+Summary!$F$29)))</f>
        <v>0.10460387267542563</v>
      </c>
      <c r="D16" s="24">
        <f t="shared" si="2"/>
        <v>-40954.68182203699</v>
      </c>
      <c r="E16" s="41">
        <f>E15*(1+Summary!$G$15)</f>
        <v>9.1460386101126764E-2</v>
      </c>
      <c r="F16" s="41">
        <f t="shared" si="3"/>
        <v>35808.722146596752</v>
      </c>
      <c r="G16" s="22"/>
      <c r="H16" s="24">
        <f t="shared" si="7"/>
        <v>0</v>
      </c>
      <c r="I16" s="24">
        <f>I15*(1-Summary!$G$19)*(1+Summary!$G$15)</f>
        <v>0</v>
      </c>
      <c r="J16" s="24">
        <f t="shared" si="1"/>
        <v>40954.68182203699</v>
      </c>
      <c r="K16" s="24">
        <f t="shared" si="4"/>
        <v>-5145.9596754402373</v>
      </c>
      <c r="L16" s="24">
        <f t="shared" si="5"/>
        <v>-9292.2078782244935</v>
      </c>
      <c r="M16" s="24">
        <f>K16/(1+Summary!$G$16)^($A16-1)</f>
        <v>-3504.1481365418886</v>
      </c>
      <c r="N16" s="24">
        <f t="shared" si="6"/>
        <v>-549.22841432324958</v>
      </c>
    </row>
    <row r="17" spans="1:15" x14ac:dyDescent="0.4">
      <c r="A17" s="43">
        <v>15</v>
      </c>
      <c r="B17" s="44">
        <f>B16*(1-Summary!$G$19)</f>
        <v>389564.05122178706</v>
      </c>
      <c r="C17" s="45">
        <f>IF(A17&gt;Summary!$F$31,0,(C16*(1+Summary!$F$29)))</f>
        <v>0.10627753463823245</v>
      </c>
      <c r="D17" s="46">
        <f t="shared" si="2"/>
        <v>-41401.906947533629</v>
      </c>
      <c r="E17" s="47">
        <f>E16*(1+Summary!$G$15)</f>
        <v>9.381091802392573E-2</v>
      </c>
      <c r="F17" s="47">
        <f t="shared" si="3"/>
        <v>36545.361274235467</v>
      </c>
      <c r="G17" s="48"/>
      <c r="H17" s="46">
        <f t="shared" si="7"/>
        <v>0</v>
      </c>
      <c r="I17" s="46">
        <f>I16*(1-Summary!$G$19)*(1+Summary!$G$15)</f>
        <v>0</v>
      </c>
      <c r="J17" s="46">
        <f t="shared" si="1"/>
        <v>41401.906947533629</v>
      </c>
      <c r="K17" s="81">
        <f t="shared" si="4"/>
        <v>-4856.545673298162</v>
      </c>
      <c r="L17" s="46">
        <f t="shared" si="5"/>
        <v>-14148.753551522655</v>
      </c>
      <c r="M17" s="46">
        <f>K17/(1+Summary!$G$16)^($A17-1)</f>
        <v>-3210.7488193887898</v>
      </c>
      <c r="N17" s="46">
        <f t="shared" si="6"/>
        <v>-3759.9772337120394</v>
      </c>
    </row>
    <row r="18" spans="1:15" x14ac:dyDescent="0.4">
      <c r="A18" s="23">
        <v>16</v>
      </c>
      <c r="B18" s="42">
        <f>B17*(1-Summary!$G$19)</f>
        <v>387616.23096567811</v>
      </c>
      <c r="C18" s="25">
        <f>IF(A18&gt;Summary!$F$31,0,(C17*(1+Summary!$F$29)))</f>
        <v>0.10797797519244416</v>
      </c>
      <c r="D18" s="24">
        <f t="shared" si="2"/>
        <v>-41854.0157714007</v>
      </c>
      <c r="E18" s="41">
        <f>E17*(1+Summary!$G$15)</f>
        <v>9.6221858617140624E-2</v>
      </c>
      <c r="F18" s="41">
        <f t="shared" si="3"/>
        <v>37297.154173688403</v>
      </c>
      <c r="G18" s="22"/>
      <c r="H18" s="24">
        <f t="shared" si="7"/>
        <v>0</v>
      </c>
      <c r="I18" s="24">
        <f>I17*(1-Summary!$G$19)*(1+Summary!$G$15)</f>
        <v>0</v>
      </c>
      <c r="J18" s="24">
        <f t="shared" si="1"/>
        <v>41854.0157714007</v>
      </c>
      <c r="K18" s="24">
        <f t="shared" si="4"/>
        <v>-4556.8615977122972</v>
      </c>
      <c r="L18" s="24">
        <f t="shared" si="5"/>
        <v>-18705.615149234953</v>
      </c>
      <c r="M18" s="24">
        <f>K18/(1+Summary!$G$16)^($A18-1)</f>
        <v>-2924.8760591249334</v>
      </c>
      <c r="N18" s="24">
        <f t="shared" si="6"/>
        <v>-6684.8532928369732</v>
      </c>
    </row>
    <row r="19" spans="1:15" x14ac:dyDescent="0.4">
      <c r="A19" s="23">
        <v>17</v>
      </c>
      <c r="B19" s="42">
        <f>B18*(1-Summary!$G$19)</f>
        <v>385678.14981084975</v>
      </c>
      <c r="C19" s="25">
        <f>IF(A19&gt;Summary!$F$31,0,(C18*(1+Summary!$F$29)))</f>
        <v>0.10970562279552327</v>
      </c>
      <c r="D19" s="24">
        <f t="shared" si="2"/>
        <v>-42311.061623624402</v>
      </c>
      <c r="E19" s="41">
        <f>E18*(1+Summary!$G$15)</f>
        <v>9.8694760383601143E-2</v>
      </c>
      <c r="F19" s="41">
        <f t="shared" si="3"/>
        <v>38064.412580772441</v>
      </c>
      <c r="G19" s="22"/>
      <c r="H19" s="24">
        <f t="shared" si="7"/>
        <v>0</v>
      </c>
      <c r="I19" s="24">
        <f>I18*(1-Summary!$G$19)*(1+Summary!$G$15)</f>
        <v>0</v>
      </c>
      <c r="J19" s="24">
        <f t="shared" si="1"/>
        <v>42311.061623624402</v>
      </c>
      <c r="K19" s="24">
        <f t="shared" si="4"/>
        <v>-4246.649042851961</v>
      </c>
      <c r="L19" s="24">
        <f t="shared" si="5"/>
        <v>-22952.264192086914</v>
      </c>
      <c r="M19" s="24">
        <f>K19/(1+Summary!$G$16)^($A19-1)</f>
        <v>-2646.3712859760849</v>
      </c>
      <c r="N19" s="24">
        <f t="shared" si="6"/>
        <v>-9331.2245788130585</v>
      </c>
    </row>
    <row r="20" spans="1:15" x14ac:dyDescent="0.4">
      <c r="A20" s="23">
        <v>18</v>
      </c>
      <c r="B20" s="42">
        <f>B19*(1-Summary!$G$19)</f>
        <v>383749.75906179548</v>
      </c>
      <c r="C20" s="25">
        <f>IF(A20&gt;Summary!$F$31,0,(C19*(1+Summary!$F$29)))</f>
        <v>0.11146091276025165</v>
      </c>
      <c r="D20" s="24">
        <f t="shared" si="2"/>
        <v>-42773.098416554378</v>
      </c>
      <c r="E20" s="41">
        <f>E19*(1+Summary!$G$15)</f>
        <v>0.10123121572545969</v>
      </c>
      <c r="F20" s="41">
        <f t="shared" si="3"/>
        <v>38847.4546441778</v>
      </c>
      <c r="G20" s="22"/>
      <c r="H20" s="24">
        <f t="shared" si="7"/>
        <v>0</v>
      </c>
      <c r="I20" s="24">
        <f>I19*(1-Summary!$G$19)*(1+Summary!$G$15)</f>
        <v>0</v>
      </c>
      <c r="J20" s="24">
        <f t="shared" si="1"/>
        <v>42773.098416554378</v>
      </c>
      <c r="K20" s="24">
        <f t="shared" si="4"/>
        <v>-3925.6437723765775</v>
      </c>
      <c r="L20" s="24">
        <f t="shared" si="5"/>
        <v>-26877.907964463491</v>
      </c>
      <c r="M20" s="24">
        <f>K20/(1+Summary!$G$16)^($A20-1)</f>
        <v>-2375.0790428159371</v>
      </c>
      <c r="N20" s="24">
        <f t="shared" si="6"/>
        <v>-11706.303621628995</v>
      </c>
    </row>
    <row r="21" spans="1:15" x14ac:dyDescent="0.4">
      <c r="A21" s="23">
        <v>19</v>
      </c>
      <c r="B21" s="42">
        <f>B20*(1-Summary!$G$19)</f>
        <v>381831.0102664865</v>
      </c>
      <c r="C21" s="25">
        <f>IF(A21&gt;Summary!$F$31,0,(C20*(1+Summary!$F$29)))</f>
        <v>0.11324428736441568</v>
      </c>
      <c r="D21" s="24">
        <f t="shared" si="2"/>
        <v>-43240.180651263152</v>
      </c>
      <c r="E21" s="41">
        <f>E20*(1+Summary!$G$15)</f>
        <v>0.10383285796960401</v>
      </c>
      <c r="F21" s="41">
        <f t="shared" si="3"/>
        <v>39646.605057390501</v>
      </c>
      <c r="G21" s="22"/>
      <c r="H21" s="24">
        <f t="shared" si="7"/>
        <v>0</v>
      </c>
      <c r="I21" s="24">
        <f>I20*(1-Summary!$G$19)*(1+Summary!$G$15)</f>
        <v>0</v>
      </c>
      <c r="J21" s="24">
        <f t="shared" si="1"/>
        <v>43240.180651263152</v>
      </c>
      <c r="K21" s="24">
        <f t="shared" si="4"/>
        <v>-3593.5755938726506</v>
      </c>
      <c r="L21" s="24">
        <f t="shared" si="5"/>
        <v>-30471.483558336142</v>
      </c>
      <c r="M21" s="24">
        <f>K21/(1+Summary!$G$16)^($A21-1)</f>
        <v>-2110.8469259022759</v>
      </c>
      <c r="N21" s="24">
        <f t="shared" si="6"/>
        <v>-13817.15054753127</v>
      </c>
    </row>
    <row r="22" spans="1:15" x14ac:dyDescent="0.4">
      <c r="A22" s="43">
        <v>20</v>
      </c>
      <c r="B22" s="44">
        <f>B21*(1-Summary!$G$19)</f>
        <v>379921.85521515406</v>
      </c>
      <c r="C22" s="45">
        <f>IF(A22&gt;Summary!$F$31,0,(C21*(1+Summary!$F$29)))</f>
        <v>0.11505619596224632</v>
      </c>
      <c r="D22" s="46">
        <f t="shared" si="2"/>
        <v>-43712.363423974944</v>
      </c>
      <c r="E22" s="47">
        <f>E21*(1+Summary!$G$15)</f>
        <v>0.10650136241942283</v>
      </c>
      <c r="F22" s="47">
        <f t="shared" si="3"/>
        <v>40462.195193328611</v>
      </c>
      <c r="G22" s="48"/>
      <c r="H22" s="46">
        <f t="shared" si="7"/>
        <v>0</v>
      </c>
      <c r="I22" s="46">
        <f>I21*(1-Summary!$G$19)*(1+Summary!$G$15)</f>
        <v>0</v>
      </c>
      <c r="J22" s="46">
        <f t="shared" si="1"/>
        <v>43712.363423974944</v>
      </c>
      <c r="K22" s="81">
        <f t="shared" si="4"/>
        <v>-3250.1682306463335</v>
      </c>
      <c r="L22" s="46">
        <f t="shared" si="5"/>
        <v>-33721.651788982475</v>
      </c>
      <c r="M22" s="46">
        <f>K22/(1+Summary!$G$16)^($A22-1)</f>
        <v>-1853.5255267256418</v>
      </c>
      <c r="N22" s="46">
        <f t="shared" si="6"/>
        <v>-15670.676074256911</v>
      </c>
    </row>
    <row r="23" spans="1:15" x14ac:dyDescent="0.4">
      <c r="A23" s="23">
        <v>21</v>
      </c>
      <c r="B23" s="42">
        <f>B22*(1-Summary!$G$19)</f>
        <v>378022.24593907828</v>
      </c>
      <c r="C23" s="25">
        <f>IF(A23&gt;Summary!$F$31,0,(C22*(1+Summary!$F$29)))</f>
        <v>0</v>
      </c>
      <c r="D23" s="24">
        <f t="shared" si="2"/>
        <v>0</v>
      </c>
      <c r="E23" s="41">
        <f>E22*(1+Summary!$G$15)</f>
        <v>0.109238447433602</v>
      </c>
      <c r="F23" s="41">
        <f t="shared" si="3"/>
        <v>41294.563241748168</v>
      </c>
      <c r="G23" s="22"/>
      <c r="H23" s="24">
        <f t="shared" si="7"/>
        <v>0</v>
      </c>
      <c r="I23" s="24">
        <f>I22*(1-Summary!$G$19)*(1+Summary!$G$15)</f>
        <v>0</v>
      </c>
      <c r="J23" s="24">
        <f t="shared" si="1"/>
        <v>0</v>
      </c>
      <c r="K23" s="24">
        <f t="shared" si="4"/>
        <v>41294.563241748168</v>
      </c>
      <c r="L23" s="24">
        <f t="shared" si="5"/>
        <v>7572.911452765693</v>
      </c>
      <c r="M23" s="24">
        <f>K23/(1+Summary!$G$16)^($A23-1)</f>
        <v>22863.798446670222</v>
      </c>
      <c r="N23" s="24">
        <f t="shared" si="6"/>
        <v>7193.1223724133106</v>
      </c>
    </row>
    <row r="24" spans="1:15" x14ac:dyDescent="0.4">
      <c r="A24" s="23">
        <v>22</v>
      </c>
      <c r="B24" s="42">
        <f>B23*(1-Summary!$G$19)</f>
        <v>376132.1347093829</v>
      </c>
      <c r="C24" s="25">
        <f>IF(A24&gt;Summary!$F$31,0,(C23*(1+Summary!$F$29)))</f>
        <v>0</v>
      </c>
      <c r="D24" s="24">
        <f t="shared" si="2"/>
        <v>0</v>
      </c>
      <c r="E24" s="41">
        <f>E23*(1+Summary!$G$15)</f>
        <v>0.11204587553264558</v>
      </c>
      <c r="F24" s="41">
        <f t="shared" si="3"/>
        <v>42144.054349475795</v>
      </c>
      <c r="G24" s="22"/>
      <c r="H24" s="24">
        <f t="shared" si="7"/>
        <v>0</v>
      </c>
      <c r="I24" s="24">
        <f>I23*(1-Summary!$G$19)*(1+Summary!$G$15)</f>
        <v>0</v>
      </c>
      <c r="J24" s="24">
        <f t="shared" si="1"/>
        <v>0</v>
      </c>
      <c r="K24" s="24">
        <f t="shared" si="4"/>
        <v>42144.054349475795</v>
      </c>
      <c r="L24" s="24">
        <f t="shared" si="5"/>
        <v>49716.965802241488</v>
      </c>
      <c r="M24" s="24">
        <f>K24/(1+Summary!$G$16)^($A24-1)</f>
        <v>22654.505899432916</v>
      </c>
      <c r="N24" s="24">
        <f t="shared" si="6"/>
        <v>29847.628271846224</v>
      </c>
    </row>
    <row r="25" spans="1:15" x14ac:dyDescent="0.4">
      <c r="A25" s="23">
        <v>23</v>
      </c>
      <c r="B25" s="42">
        <f>B24*(1-Summary!$G$19)</f>
        <v>374251.474035836</v>
      </c>
      <c r="C25" s="25">
        <f>IF(A25&gt;Summary!$F$31,0,(C24*(1+Summary!$F$29)))</f>
        <v>0</v>
      </c>
      <c r="D25" s="24">
        <f t="shared" si="2"/>
        <v>0</v>
      </c>
      <c r="E25" s="41">
        <f>E24*(1+Summary!$G$15)</f>
        <v>0.11492545453383458</v>
      </c>
      <c r="F25" s="41">
        <f t="shared" si="3"/>
        <v>43011.020763526045</v>
      </c>
      <c r="G25" s="22"/>
      <c r="H25" s="24">
        <f t="shared" si="7"/>
        <v>0</v>
      </c>
      <c r="I25" s="24">
        <f>I24*(1-Summary!$G$19)*(1+Summary!$G$15)</f>
        <v>0</v>
      </c>
      <c r="J25" s="24">
        <f t="shared" si="1"/>
        <v>0</v>
      </c>
      <c r="K25" s="24">
        <f t="shared" si="4"/>
        <v>43011.020763526045</v>
      </c>
      <c r="L25" s="24">
        <f t="shared" si="5"/>
        <v>92727.986565767525</v>
      </c>
      <c r="M25" s="24">
        <f>K25/(1+Summary!$G$16)^($A25-1)</f>
        <v>22447.12919178942</v>
      </c>
      <c r="N25" s="24">
        <f t="shared" si="6"/>
        <v>52294.757463635644</v>
      </c>
    </row>
    <row r="26" spans="1:15" x14ac:dyDescent="0.4">
      <c r="A26" s="23">
        <v>24</v>
      </c>
      <c r="B26" s="42">
        <f>B25*(1-Summary!$G$19)</f>
        <v>372380.21666565683</v>
      </c>
      <c r="C26" s="25">
        <f>IF(A26&gt;Summary!$F$31,0,(C25*(1+Summary!$F$29)))</f>
        <v>0</v>
      </c>
      <c r="D26" s="24">
        <f t="shared" si="2"/>
        <v>0</v>
      </c>
      <c r="E26" s="41">
        <f>E25*(1+Summary!$G$15)</f>
        <v>0.11787903871535414</v>
      </c>
      <c r="F26" s="41">
        <f t="shared" si="3"/>
        <v>43895.821977162923</v>
      </c>
      <c r="G26" s="22"/>
      <c r="H26" s="24">
        <f t="shared" si="7"/>
        <v>0</v>
      </c>
      <c r="I26" s="24">
        <f>I25*(1-Summary!$G$19)*(1+Summary!$G$15)</f>
        <v>0</v>
      </c>
      <c r="J26" s="24">
        <f t="shared" si="1"/>
        <v>0</v>
      </c>
      <c r="K26" s="24">
        <f t="shared" si="4"/>
        <v>43895.821977162923</v>
      </c>
      <c r="L26" s="24">
        <f t="shared" si="5"/>
        <v>136623.80854293046</v>
      </c>
      <c r="M26" s="24">
        <f>K26/(1+Summary!$G$16)^($A26-1)</f>
        <v>22241.650786367296</v>
      </c>
      <c r="N26" s="24">
        <f t="shared" si="6"/>
        <v>74536.408250002947</v>
      </c>
    </row>
    <row r="27" spans="1:15" x14ac:dyDescent="0.4">
      <c r="A27" s="43">
        <v>25</v>
      </c>
      <c r="B27" s="44">
        <f>B26*(1-Summary!$G$19)</f>
        <v>370518.31558232853</v>
      </c>
      <c r="C27" s="45">
        <f>IF(A27&gt;Summary!$F$31,0,(C26*(1+Summary!$F$29)))</f>
        <v>0</v>
      </c>
      <c r="D27" s="46">
        <f t="shared" si="2"/>
        <v>0</v>
      </c>
      <c r="E27" s="47">
        <f>E26*(1+Summary!$G$15)</f>
        <v>0.12090853001033874</v>
      </c>
      <c r="F27" s="47">
        <f t="shared" si="3"/>
        <v>44798.82487896613</v>
      </c>
      <c r="G27" s="48"/>
      <c r="H27" s="46">
        <f t="shared" si="7"/>
        <v>0</v>
      </c>
      <c r="I27" s="46">
        <f>I26*(1-Summary!$G$19)*(1+Summary!$G$15)</f>
        <v>0</v>
      </c>
      <c r="J27" s="46">
        <f t="shared" si="1"/>
        <v>0</v>
      </c>
      <c r="K27" s="81">
        <f t="shared" si="4"/>
        <v>44798.82487896613</v>
      </c>
      <c r="L27" s="46">
        <f t="shared" si="5"/>
        <v>181422.63342189661</v>
      </c>
      <c r="M27" s="46">
        <f>K27/(1+Summary!$G$16)^($A27-1)</f>
        <v>22038.05330632918</v>
      </c>
      <c r="N27" s="46">
        <f t="shared" si="6"/>
        <v>96574.461556332128</v>
      </c>
    </row>
    <row r="28" spans="1:15" x14ac:dyDescent="0.4">
      <c r="A28" s="23">
        <v>26</v>
      </c>
      <c r="B28" s="42">
        <f>B27*(1-Summary!$G$19)</f>
        <v>368665.7240044169</v>
      </c>
      <c r="C28" s="25">
        <f>IF(A28&gt;Summary!$F$31,0,(C27*(1+Summary!$F$29)))</f>
        <v>0</v>
      </c>
      <c r="D28" s="24">
        <f t="shared" si="2"/>
        <v>0</v>
      </c>
      <c r="E28" s="41">
        <f>E27*(1+Summary!$G$15)</f>
        <v>0.12401587923160445</v>
      </c>
      <c r="F28" s="41">
        <f t="shared" si="3"/>
        <v>45720.403904963787</v>
      </c>
      <c r="G28" s="22"/>
      <c r="H28" s="24">
        <f t="shared" si="7"/>
        <v>0</v>
      </c>
      <c r="I28" s="24">
        <f>I27*(1-Summary!$G$19)*(1+Summary!$G$15)</f>
        <v>0</v>
      </c>
      <c r="J28" s="24">
        <f t="shared" si="1"/>
        <v>0</v>
      </c>
      <c r="K28" s="24">
        <f t="shared" si="4"/>
        <v>45720.403904963787</v>
      </c>
      <c r="L28" s="24">
        <f t="shared" si="5"/>
        <v>227143.03732686039</v>
      </c>
      <c r="M28" s="24">
        <f>K28/(1+Summary!$G$16)^($A28-1)</f>
        <v>21836.319533903235</v>
      </c>
      <c r="N28" s="24">
        <f t="shared" si="6"/>
        <v>118410.78109023537</v>
      </c>
    </row>
    <row r="29" spans="1:15" x14ac:dyDescent="0.4">
      <c r="A29" s="23">
        <v>27</v>
      </c>
      <c r="B29" s="42">
        <f>B28*(1-Summary!$G$19)</f>
        <v>366822.3953843948</v>
      </c>
      <c r="C29" s="25">
        <f>IF(A29&gt;Summary!$F$31,0,(C28*(1+Summary!$F$29)))</f>
        <v>0</v>
      </c>
      <c r="D29" s="24">
        <f t="shared" si="2"/>
        <v>0</v>
      </c>
      <c r="E29" s="41">
        <f>E28*(1+Summary!$G$15)</f>
        <v>0.12720308732785671</v>
      </c>
      <c r="F29" s="41">
        <f t="shared" si="3"/>
        <v>46660.941193894752</v>
      </c>
      <c r="G29" s="22"/>
      <c r="H29" s="24">
        <f t="shared" si="7"/>
        <v>0</v>
      </c>
      <c r="I29" s="24">
        <f>I28*(1-Summary!$G$19)*(1+Summary!$G$15)</f>
        <v>0</v>
      </c>
      <c r="J29" s="24">
        <f t="shared" si="1"/>
        <v>0</v>
      </c>
      <c r="K29" s="24">
        <f t="shared" si="4"/>
        <v>46660.941193894752</v>
      </c>
      <c r="L29" s="24">
        <f t="shared" si="5"/>
        <v>273803.97852075513</v>
      </c>
      <c r="M29" s="24">
        <f>K29/(1+Summary!$G$16)^($A29-1)</f>
        <v>21636.43240892711</v>
      </c>
      <c r="N29" s="24">
        <f t="shared" si="6"/>
        <v>140047.21349916246</v>
      </c>
    </row>
    <row r="30" spans="1:15" x14ac:dyDescent="0.4">
      <c r="A30" s="23">
        <v>28</v>
      </c>
      <c r="B30" s="42">
        <f>B29*(1-Summary!$G$19)</f>
        <v>364988.28340747283</v>
      </c>
      <c r="C30" s="25">
        <f>IF(A30&gt;Summary!$F$31,0,(C29*(1+Summary!$F$29)))</f>
        <v>0</v>
      </c>
      <c r="D30" s="24">
        <f t="shared" si="2"/>
        <v>0</v>
      </c>
      <c r="E30" s="41">
        <f>E29*(1+Summary!$G$15)</f>
        <v>0.13047220667218262</v>
      </c>
      <c r="F30" s="41">
        <f t="shared" si="3"/>
        <v>47620.826745664956</v>
      </c>
      <c r="G30" s="22"/>
      <c r="H30" s="24">
        <f t="shared" si="7"/>
        <v>0</v>
      </c>
      <c r="I30" s="24">
        <f>I29*(1-Summary!$G$19)*(1+Summary!$G$15)</f>
        <v>0</v>
      </c>
      <c r="J30" s="24">
        <f t="shared" si="1"/>
        <v>0</v>
      </c>
      <c r="K30" s="24">
        <f t="shared" si="4"/>
        <v>47620.826745664956</v>
      </c>
      <c r="L30" s="24">
        <f t="shared" si="5"/>
        <v>321424.80526642007</v>
      </c>
      <c r="M30" s="24">
        <f>K30/(1+Summary!$G$16)^($A30-1)</f>
        <v>21438.3750274052</v>
      </c>
      <c r="N30" s="24">
        <f t="shared" si="6"/>
        <v>161485.58852656768</v>
      </c>
    </row>
    <row r="31" spans="1:15" x14ac:dyDescent="0.4">
      <c r="A31" s="23">
        <v>29</v>
      </c>
      <c r="B31" s="42">
        <f>B30*(1-Summary!$G$19)</f>
        <v>363163.34199043544</v>
      </c>
      <c r="C31" s="25">
        <f>IF(A31&gt;Summary!$F$31,0,(C30*(1+Summary!$F$29)))</f>
        <v>0</v>
      </c>
      <c r="D31" s="24">
        <f t="shared" si="2"/>
        <v>0</v>
      </c>
      <c r="E31" s="41">
        <f>E30*(1+Summary!$G$15)</f>
        <v>0.13382534238365773</v>
      </c>
      <c r="F31" s="41">
        <f t="shared" si="3"/>
        <v>48600.45858306341</v>
      </c>
      <c r="G31" s="22"/>
      <c r="H31" s="24">
        <f t="shared" si="7"/>
        <v>0</v>
      </c>
      <c r="I31" s="24">
        <f>I30*(1-Summary!$G$19)*(1+Summary!$G$15)</f>
        <v>0</v>
      </c>
      <c r="J31" s="24">
        <f t="shared" si="1"/>
        <v>0</v>
      </c>
      <c r="K31" s="24">
        <f t="shared" si="4"/>
        <v>48600.45858306341</v>
      </c>
      <c r="L31" s="24">
        <f t="shared" si="5"/>
        <v>370025.26384948345</v>
      </c>
      <c r="M31" s="24">
        <f>K31/(1+Summary!$G$16)^($A31-1)</f>
        <v>21242.130640079096</v>
      </c>
      <c r="N31" s="24">
        <f t="shared" si="6"/>
        <v>182727.71916664677</v>
      </c>
    </row>
    <row r="32" spans="1:15" x14ac:dyDescent="0.4">
      <c r="A32" s="43">
        <v>30</v>
      </c>
      <c r="B32" s="44">
        <f>B31*(1-Summary!$G$19)</f>
        <v>361347.52528048324</v>
      </c>
      <c r="C32" s="45">
        <f>IF(A32&gt;Summary!$F$31,0,(C31*(1+Summary!$F$29)))</f>
        <v>0</v>
      </c>
      <c r="D32" s="46">
        <f t="shared" si="2"/>
        <v>0</v>
      </c>
      <c r="E32" s="47">
        <f>E31*(1+Summary!$G$15)</f>
        <v>0.13726465368291774</v>
      </c>
      <c r="F32" s="47">
        <f t="shared" si="3"/>
        <v>49600.242916804891</v>
      </c>
      <c r="G32" s="48"/>
      <c r="H32" s="46">
        <f t="shared" si="7"/>
        <v>0</v>
      </c>
      <c r="I32" s="46">
        <f>I31*(1-Summary!$G$19)*(1+Summary!$G$15)</f>
        <v>0</v>
      </c>
      <c r="J32" s="46">
        <f t="shared" si="1"/>
        <v>0</v>
      </c>
      <c r="K32" s="81">
        <f t="shared" si="4"/>
        <v>49600.242916804891</v>
      </c>
      <c r="L32" s="46">
        <f t="shared" si="5"/>
        <v>419625.50676628837</v>
      </c>
      <c r="M32" s="46">
        <f>K32/(1+Summary!$G$16)^($A32-1)</f>
        <v>21047.68265101115</v>
      </c>
      <c r="N32" s="46">
        <f t="shared" si="6"/>
        <v>203775.40181765793</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D1102"/>
  <sheetViews>
    <sheetView workbookViewId="0">
      <selection activeCell="G40" sqref="G40"/>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Summary!G24</f>
        <v>SITE 4</v>
      </c>
      <c r="C1" s="19"/>
      <c r="D1" s="19"/>
      <c r="E1" s="19"/>
      <c r="F1" s="19"/>
      <c r="G1" s="19"/>
      <c r="H1" s="19"/>
      <c r="I1" s="19"/>
      <c r="J1" s="19"/>
      <c r="K1" s="19"/>
      <c r="L1" s="20"/>
      <c r="M1" s="20"/>
      <c r="N1" s="20"/>
    </row>
    <row r="2" spans="1:14" ht="58.3" x14ac:dyDescent="0.4">
      <c r="A2" s="40"/>
      <c r="B2" s="40" t="s">
        <v>45</v>
      </c>
      <c r="C2" s="53" t="s">
        <v>38</v>
      </c>
      <c r="D2" s="53" t="s">
        <v>32</v>
      </c>
      <c r="E2" s="54" t="s">
        <v>46</v>
      </c>
      <c r="F2" s="54" t="s">
        <v>39</v>
      </c>
      <c r="G2" s="55" t="s">
        <v>155</v>
      </c>
      <c r="H2" s="55" t="s">
        <v>156</v>
      </c>
      <c r="I2" s="55" t="s">
        <v>114</v>
      </c>
      <c r="J2" s="40" t="s">
        <v>47</v>
      </c>
      <c r="K2" s="40" t="s">
        <v>33</v>
      </c>
      <c r="L2" s="40" t="s">
        <v>34</v>
      </c>
      <c r="M2" s="40" t="s">
        <v>35</v>
      </c>
      <c r="N2" s="40" t="s">
        <v>36</v>
      </c>
    </row>
    <row r="3" spans="1:14" x14ac:dyDescent="0.4">
      <c r="A3" s="23">
        <v>1</v>
      </c>
      <c r="B3" s="42">
        <f>Summary!G27</f>
        <v>0</v>
      </c>
      <c r="C3" s="25">
        <f>Summary!G28</f>
        <v>0</v>
      </c>
      <c r="D3" s="24">
        <f>B3*C3*-1</f>
        <v>0</v>
      </c>
      <c r="E3" s="41">
        <f>VLOOKUP(Summary!G25,Summary!V4:AF6,11,FALSE)</f>
        <v>6.5761E-2</v>
      </c>
      <c r="F3" s="41">
        <f>B3*E3</f>
        <v>0</v>
      </c>
      <c r="G3" s="22">
        <f>IF(Summary!$G$26&lt;=40,Summary!$G$18,Summary!$G$17)</f>
        <v>0.08</v>
      </c>
      <c r="H3" s="75">
        <f t="shared" ref="H3:H12" si="0">G3*B3</f>
        <v>0</v>
      </c>
      <c r="I3" s="75">
        <f>IFERROR('Demand Charge Calculations'!B52,0)</f>
        <v>0</v>
      </c>
      <c r="J3" s="24">
        <f t="shared" ref="J3:J32" si="1">D3*-1-H3</f>
        <v>0</v>
      </c>
      <c r="K3" s="24">
        <f>F3+D3+H3+I3</f>
        <v>0</v>
      </c>
      <c r="L3" s="24">
        <f>K3</f>
        <v>0</v>
      </c>
      <c r="M3" s="24">
        <f>K3/(1+Summary!$G$16)^($A3-1)</f>
        <v>0</v>
      </c>
      <c r="N3" s="24">
        <f>M3</f>
        <v>0</v>
      </c>
    </row>
    <row r="4" spans="1:14" x14ac:dyDescent="0.4">
      <c r="A4" s="23">
        <v>2</v>
      </c>
      <c r="B4" s="42">
        <f>B3*(1-Summary!$G$19)</f>
        <v>0</v>
      </c>
      <c r="C4" s="25">
        <f>IF(A4&gt;Summary!$G$31,0,(C3*(1+Summary!$G$29)))</f>
        <v>0</v>
      </c>
      <c r="D4" s="24">
        <f t="shared" ref="D4:D32" si="2">B4*C4*-1</f>
        <v>0</v>
      </c>
      <c r="E4" s="41">
        <f>E3*(1+Summary!$G$15)</f>
        <v>6.7451057699999997E-2</v>
      </c>
      <c r="F4" s="41">
        <f t="shared" ref="F4:F32" si="3">B4*E4</f>
        <v>0</v>
      </c>
      <c r="G4" s="22">
        <f>IF(Summary!$G$26&lt;=40,Summary!$G$18,Summary!$G$17)</f>
        <v>0.08</v>
      </c>
      <c r="H4" s="75">
        <f t="shared" si="0"/>
        <v>0</v>
      </c>
      <c r="I4" s="75">
        <f>I3*(1-Summary!$G$19)*(1+Summary!$G$15)</f>
        <v>0</v>
      </c>
      <c r="J4" s="24">
        <f t="shared" si="1"/>
        <v>0</v>
      </c>
      <c r="K4" s="24">
        <f t="shared" ref="K4:K32" si="4">F4+D4+H4+I4</f>
        <v>0</v>
      </c>
      <c r="L4" s="24">
        <f t="shared" ref="L4:L32" si="5">L3+K4</f>
        <v>0</v>
      </c>
      <c r="M4" s="24">
        <f>K4/(1+Summary!$G$16)^($A4-1)</f>
        <v>0</v>
      </c>
      <c r="N4" s="24">
        <f>M4+N3</f>
        <v>0</v>
      </c>
    </row>
    <row r="5" spans="1:14" x14ac:dyDescent="0.4">
      <c r="A5" s="23">
        <v>3</v>
      </c>
      <c r="B5" s="42">
        <f>B4*(1-Summary!$G$19)</f>
        <v>0</v>
      </c>
      <c r="C5" s="25">
        <f>IF(A5&gt;Summary!$G$31,0,(C4*(1+Summary!$G$29)))</f>
        <v>0</v>
      </c>
      <c r="D5" s="24">
        <f t="shared" si="2"/>
        <v>0</v>
      </c>
      <c r="E5" s="41">
        <f>E4*(1+Summary!$G$15)</f>
        <v>6.9184549882889995E-2</v>
      </c>
      <c r="F5" s="41">
        <f t="shared" si="3"/>
        <v>0</v>
      </c>
      <c r="G5" s="22">
        <f>IF(Summary!$G$26&lt;=40,Summary!$G$18,Summary!$G$17)</f>
        <v>0.08</v>
      </c>
      <c r="H5" s="75">
        <f t="shared" si="0"/>
        <v>0</v>
      </c>
      <c r="I5" s="75">
        <f>I4*(1-Summary!$G$19)*(1+Summary!$G$15)</f>
        <v>0</v>
      </c>
      <c r="J5" s="24">
        <f t="shared" si="1"/>
        <v>0</v>
      </c>
      <c r="K5" s="24">
        <f t="shared" si="4"/>
        <v>0</v>
      </c>
      <c r="L5" s="24">
        <f t="shared" si="5"/>
        <v>0</v>
      </c>
      <c r="M5" s="24">
        <f>K5/(1+Summary!$G$16)^($A5-1)</f>
        <v>0</v>
      </c>
      <c r="N5" s="24">
        <f t="shared" ref="N5:N32" si="6">M5+N4</f>
        <v>0</v>
      </c>
    </row>
    <row r="6" spans="1:14" x14ac:dyDescent="0.4">
      <c r="A6" s="23">
        <v>4</v>
      </c>
      <c r="B6" s="42">
        <f>B5*(1-Summary!$G$19)</f>
        <v>0</v>
      </c>
      <c r="C6" s="25">
        <f>IF(A6&gt;Summary!$G$31,0,(C5*(1+Summary!$G$29)))</f>
        <v>0</v>
      </c>
      <c r="D6" s="24">
        <f t="shared" si="2"/>
        <v>0</v>
      </c>
      <c r="E6" s="41">
        <f>E5*(1+Summary!$G$15)</f>
        <v>7.0962592814880265E-2</v>
      </c>
      <c r="F6" s="41">
        <f t="shared" si="3"/>
        <v>0</v>
      </c>
      <c r="G6" s="22">
        <f>IF(Summary!$G$26&lt;=40,Summary!$G$18,Summary!$G$17)</f>
        <v>0.08</v>
      </c>
      <c r="H6" s="75">
        <f t="shared" si="0"/>
        <v>0</v>
      </c>
      <c r="I6" s="75">
        <f>I5*(1-Summary!$G$19)*(1+Summary!$G$15)</f>
        <v>0</v>
      </c>
      <c r="J6" s="24">
        <f t="shared" si="1"/>
        <v>0</v>
      </c>
      <c r="K6" s="24">
        <f t="shared" si="4"/>
        <v>0</v>
      </c>
      <c r="L6" s="24">
        <f t="shared" si="5"/>
        <v>0</v>
      </c>
      <c r="M6" s="24">
        <f>K6/(1+Summary!$G$16)^($A6-1)</f>
        <v>0</v>
      </c>
      <c r="N6" s="24">
        <f t="shared" si="6"/>
        <v>0</v>
      </c>
    </row>
    <row r="7" spans="1:14" x14ac:dyDescent="0.4">
      <c r="A7" s="43">
        <v>5</v>
      </c>
      <c r="B7" s="44">
        <f>B6*(1-Summary!$G$19)</f>
        <v>0</v>
      </c>
      <c r="C7" s="45">
        <f>IF(A7&gt;Summary!$G$31,0,(C6*(1+Summary!$G$29)))</f>
        <v>0</v>
      </c>
      <c r="D7" s="46">
        <f t="shared" si="2"/>
        <v>0</v>
      </c>
      <c r="E7" s="47">
        <f>E6*(1+Summary!$G$15)</f>
        <v>7.2786331450222688E-2</v>
      </c>
      <c r="F7" s="47">
        <f t="shared" si="3"/>
        <v>0</v>
      </c>
      <c r="G7" s="83">
        <f>IF(Summary!$G$26&lt;=40,Summary!$G$18,Summary!$G$17)</f>
        <v>0.08</v>
      </c>
      <c r="H7" s="81">
        <f t="shared" si="0"/>
        <v>0</v>
      </c>
      <c r="I7" s="81">
        <f>I6*(1-Summary!$G$19)*(1+Summary!$G$15)</f>
        <v>0</v>
      </c>
      <c r="J7" s="46">
        <f t="shared" si="1"/>
        <v>0</v>
      </c>
      <c r="K7" s="81">
        <f t="shared" si="4"/>
        <v>0</v>
      </c>
      <c r="L7" s="46">
        <f t="shared" si="5"/>
        <v>0</v>
      </c>
      <c r="M7" s="46">
        <f>K7/(1+Summary!$G$16)^($A7-1)</f>
        <v>0</v>
      </c>
      <c r="N7" s="46">
        <f t="shared" si="6"/>
        <v>0</v>
      </c>
    </row>
    <row r="8" spans="1:14" x14ac:dyDescent="0.4">
      <c r="A8" s="23">
        <v>6</v>
      </c>
      <c r="B8" s="42">
        <f>B7*(1-Summary!$G$19)</f>
        <v>0</v>
      </c>
      <c r="C8" s="25">
        <f>IF(A8&gt;Summary!$G$31,0,(C7*(1+Summary!$G$29)))</f>
        <v>0</v>
      </c>
      <c r="D8" s="24">
        <f t="shared" si="2"/>
        <v>0</v>
      </c>
      <c r="E8" s="41">
        <f>E7*(1+Summary!$G$15)</f>
        <v>7.4656940168493419E-2</v>
      </c>
      <c r="F8" s="41">
        <f t="shared" si="3"/>
        <v>0</v>
      </c>
      <c r="G8" s="22">
        <f>IF(Summary!$G$26&lt;=40,Summary!$G$18,Summary!$G$17)</f>
        <v>0.08</v>
      </c>
      <c r="H8" s="75">
        <f t="shared" si="0"/>
        <v>0</v>
      </c>
      <c r="I8" s="75">
        <f>I7*(1-Summary!$G$19)*(1+Summary!$G$15)</f>
        <v>0</v>
      </c>
      <c r="J8" s="24">
        <f t="shared" si="1"/>
        <v>0</v>
      </c>
      <c r="K8" s="24">
        <f t="shared" si="4"/>
        <v>0</v>
      </c>
      <c r="L8" s="24">
        <f t="shared" si="5"/>
        <v>0</v>
      </c>
      <c r="M8" s="24">
        <f>K8/(1+Summary!$G$16)^($A8-1)</f>
        <v>0</v>
      </c>
      <c r="N8" s="24">
        <f t="shared" si="6"/>
        <v>0</v>
      </c>
    </row>
    <row r="9" spans="1:14" x14ac:dyDescent="0.4">
      <c r="A9" s="23">
        <v>7</v>
      </c>
      <c r="B9" s="42">
        <f>B8*(1-Summary!$G$19)</f>
        <v>0</v>
      </c>
      <c r="C9" s="25">
        <f>IF(A9&gt;Summary!$G$31,0,(C8*(1+Summary!$G$29)))</f>
        <v>0</v>
      </c>
      <c r="D9" s="24">
        <f t="shared" si="2"/>
        <v>0</v>
      </c>
      <c r="E9" s="41">
        <f>E8*(1+Summary!$G$15)</f>
        <v>7.65756235308237E-2</v>
      </c>
      <c r="F9" s="41">
        <f t="shared" si="3"/>
        <v>0</v>
      </c>
      <c r="G9" s="22">
        <f>IF(Summary!$G$26&lt;=40,Summary!$G$18,0)</f>
        <v>0.08</v>
      </c>
      <c r="H9" s="75">
        <f t="shared" si="0"/>
        <v>0</v>
      </c>
      <c r="I9" s="75">
        <f>I8*(1-Summary!$G$19)*(1+Summary!$G$15)</f>
        <v>0</v>
      </c>
      <c r="J9" s="24">
        <f t="shared" si="1"/>
        <v>0</v>
      </c>
      <c r="K9" s="24">
        <f t="shared" si="4"/>
        <v>0</v>
      </c>
      <c r="L9" s="24">
        <f t="shared" si="5"/>
        <v>0</v>
      </c>
      <c r="M9" s="24">
        <f>K9/(1+Summary!$G$16)^($A9-1)</f>
        <v>0</v>
      </c>
      <c r="N9" s="24">
        <f t="shared" si="6"/>
        <v>0</v>
      </c>
    </row>
    <row r="10" spans="1:14" x14ac:dyDescent="0.4">
      <c r="A10" s="23">
        <v>8</v>
      </c>
      <c r="B10" s="42">
        <f>B9*(1-Summary!$G$19)</f>
        <v>0</v>
      </c>
      <c r="C10" s="25">
        <f>IF(A10&gt;Summary!$G$31,0,(C9*(1+Summary!$G$29)))</f>
        <v>0</v>
      </c>
      <c r="D10" s="24">
        <f t="shared" si="2"/>
        <v>0</v>
      </c>
      <c r="E10" s="41">
        <f>E9*(1+Summary!$G$15)</f>
        <v>7.8543617055565867E-2</v>
      </c>
      <c r="F10" s="41">
        <f t="shared" si="3"/>
        <v>0</v>
      </c>
      <c r="G10" s="22">
        <f>IF(Summary!$G$26&lt;=40,Summary!$G$18,0)</f>
        <v>0.08</v>
      </c>
      <c r="H10" s="75">
        <f t="shared" si="0"/>
        <v>0</v>
      </c>
      <c r="I10" s="75">
        <f>I9*(1-Summary!$G$19)*(1+Summary!$G$15)</f>
        <v>0</v>
      </c>
      <c r="J10" s="24">
        <f t="shared" si="1"/>
        <v>0</v>
      </c>
      <c r="K10" s="24">
        <f t="shared" si="4"/>
        <v>0</v>
      </c>
      <c r="L10" s="24">
        <f t="shared" si="5"/>
        <v>0</v>
      </c>
      <c r="M10" s="24">
        <f>K10/(1+Summary!$G$16)^($A10-1)</f>
        <v>0</v>
      </c>
      <c r="N10" s="24">
        <f t="shared" si="6"/>
        <v>0</v>
      </c>
    </row>
    <row r="11" spans="1:14" x14ac:dyDescent="0.4">
      <c r="A11" s="23">
        <v>9</v>
      </c>
      <c r="B11" s="42">
        <f>B10*(1-Summary!$G$19)</f>
        <v>0</v>
      </c>
      <c r="C11" s="25">
        <f>IF(A11&gt;Summary!$G$31,0,(C10*(1+Summary!$G$29)))</f>
        <v>0</v>
      </c>
      <c r="D11" s="24">
        <f t="shared" si="2"/>
        <v>0</v>
      </c>
      <c r="E11" s="41">
        <f>E10*(1+Summary!$G$15)</f>
        <v>8.0562188013893921E-2</v>
      </c>
      <c r="F11" s="41">
        <f t="shared" si="3"/>
        <v>0</v>
      </c>
      <c r="G11" s="22">
        <f>IF(Summary!$G$26&lt;=40,Summary!$G$18,0)</f>
        <v>0.08</v>
      </c>
      <c r="H11" s="75">
        <f t="shared" si="0"/>
        <v>0</v>
      </c>
      <c r="I11" s="75">
        <f>I10*(1-Summary!$G$19)*(1+Summary!$G$15)</f>
        <v>0</v>
      </c>
      <c r="J11" s="24">
        <f t="shared" si="1"/>
        <v>0</v>
      </c>
      <c r="K11" s="24">
        <f t="shared" si="4"/>
        <v>0</v>
      </c>
      <c r="L11" s="24">
        <f t="shared" si="5"/>
        <v>0</v>
      </c>
      <c r="M11" s="24">
        <f>K11/(1+Summary!$G$16)^($A11-1)</f>
        <v>0</v>
      </c>
      <c r="N11" s="24">
        <f t="shared" si="6"/>
        <v>0</v>
      </c>
    </row>
    <row r="12" spans="1:14" x14ac:dyDescent="0.4">
      <c r="A12" s="43">
        <v>10</v>
      </c>
      <c r="B12" s="44">
        <f>B11*(1-Summary!$G$19)</f>
        <v>0</v>
      </c>
      <c r="C12" s="45">
        <f>IF(A12&gt;Summary!$G$31,0,(C11*(1+Summary!$G$29)))</f>
        <v>0</v>
      </c>
      <c r="D12" s="46">
        <f t="shared" si="2"/>
        <v>0</v>
      </c>
      <c r="E12" s="47">
        <f>E11*(1+Summary!$G$15)</f>
        <v>8.2632636245851002E-2</v>
      </c>
      <c r="F12" s="47">
        <f t="shared" si="3"/>
        <v>0</v>
      </c>
      <c r="G12" s="83">
        <f>IF(Summary!$G$26&lt;=40,Summary!$G$18,0)</f>
        <v>0.08</v>
      </c>
      <c r="H12" s="81">
        <f t="shared" si="0"/>
        <v>0</v>
      </c>
      <c r="I12" s="81">
        <f>I11*(1-Summary!$G$19)*(1+Summary!$G$15)</f>
        <v>0</v>
      </c>
      <c r="J12" s="46">
        <f t="shared" si="1"/>
        <v>0</v>
      </c>
      <c r="K12" s="81">
        <f t="shared" si="4"/>
        <v>0</v>
      </c>
      <c r="L12" s="46">
        <f t="shared" si="5"/>
        <v>0</v>
      </c>
      <c r="M12" s="46">
        <f>K12/(1+Summary!$G$16)^($A12-1)</f>
        <v>0</v>
      </c>
      <c r="N12" s="46">
        <f t="shared" si="6"/>
        <v>0</v>
      </c>
    </row>
    <row r="13" spans="1:14" x14ac:dyDescent="0.4">
      <c r="A13" s="23">
        <v>11</v>
      </c>
      <c r="B13" s="42">
        <f>B12*(1-Summary!$G$19)</f>
        <v>0</v>
      </c>
      <c r="C13" s="25">
        <f>IF(A13&gt;Summary!$G$31,0,(C12*(1+Summary!$G$29)))</f>
        <v>0</v>
      </c>
      <c r="D13" s="24">
        <f t="shared" si="2"/>
        <v>0</v>
      </c>
      <c r="E13" s="41">
        <f>E12*(1+Summary!$G$15)</f>
        <v>8.4756294997369377E-2</v>
      </c>
      <c r="F13" s="41">
        <f t="shared" si="3"/>
        <v>0</v>
      </c>
      <c r="G13" s="22"/>
      <c r="H13" s="24">
        <f t="shared" ref="H13:H32" si="7">G13*B13</f>
        <v>0</v>
      </c>
      <c r="I13" s="24">
        <f>I12*(1-Summary!$G$19)*(1+Summary!$G$15)</f>
        <v>0</v>
      </c>
      <c r="J13" s="24">
        <f t="shared" si="1"/>
        <v>0</v>
      </c>
      <c r="K13" s="24">
        <f t="shared" si="4"/>
        <v>0</v>
      </c>
      <c r="L13" s="24">
        <f t="shared" si="5"/>
        <v>0</v>
      </c>
      <c r="M13" s="24">
        <f>K13/(1+Summary!$G$16)^($A13-1)</f>
        <v>0</v>
      </c>
      <c r="N13" s="24">
        <f t="shared" si="6"/>
        <v>0</v>
      </c>
    </row>
    <row r="14" spans="1:14" x14ac:dyDescent="0.4">
      <c r="A14" s="23">
        <v>12</v>
      </c>
      <c r="B14" s="42">
        <f>B13*(1-Summary!$G$19)</f>
        <v>0</v>
      </c>
      <c r="C14" s="25">
        <f>IF(A14&gt;Summary!$G$31,0,(C13*(1+Summary!$G$29)))</f>
        <v>0</v>
      </c>
      <c r="D14" s="24">
        <f t="shared" si="2"/>
        <v>0</v>
      </c>
      <c r="E14" s="41">
        <f>E13*(1+Summary!$G$15)</f>
        <v>8.6934531778801769E-2</v>
      </c>
      <c r="F14" s="41">
        <f t="shared" si="3"/>
        <v>0</v>
      </c>
      <c r="G14" s="22"/>
      <c r="H14" s="24">
        <f t="shared" si="7"/>
        <v>0</v>
      </c>
      <c r="I14" s="24">
        <f>I13*(1-Summary!$G$19)*(1+Summary!$G$15)</f>
        <v>0</v>
      </c>
      <c r="J14" s="24">
        <f t="shared" si="1"/>
        <v>0</v>
      </c>
      <c r="K14" s="24">
        <f t="shared" si="4"/>
        <v>0</v>
      </c>
      <c r="L14" s="24">
        <f t="shared" si="5"/>
        <v>0</v>
      </c>
      <c r="M14" s="24">
        <f>K14/(1+Summary!$G$16)^($A14-1)</f>
        <v>0</v>
      </c>
      <c r="N14" s="24">
        <f t="shared" si="6"/>
        <v>0</v>
      </c>
    </row>
    <row r="15" spans="1:14" x14ac:dyDescent="0.4">
      <c r="A15" s="23">
        <v>13</v>
      </c>
      <c r="B15" s="42">
        <f>B14*(1-Summary!$G$19)</f>
        <v>0</v>
      </c>
      <c r="C15" s="25">
        <f>IF(A15&gt;Summary!$G$31,0,(C14*(1+Summary!$G$29)))</f>
        <v>0</v>
      </c>
      <c r="D15" s="24">
        <f t="shared" si="2"/>
        <v>0</v>
      </c>
      <c r="E15" s="41">
        <f>E14*(1+Summary!$G$15)</f>
        <v>8.9168749245516973E-2</v>
      </c>
      <c r="F15" s="41">
        <f t="shared" si="3"/>
        <v>0</v>
      </c>
      <c r="G15" s="22"/>
      <c r="H15" s="24">
        <f t="shared" si="7"/>
        <v>0</v>
      </c>
      <c r="I15" s="24">
        <f>I14*(1-Summary!$G$19)*(1+Summary!$G$15)</f>
        <v>0</v>
      </c>
      <c r="J15" s="24">
        <f t="shared" si="1"/>
        <v>0</v>
      </c>
      <c r="K15" s="24">
        <f t="shared" si="4"/>
        <v>0</v>
      </c>
      <c r="L15" s="24">
        <f t="shared" si="5"/>
        <v>0</v>
      </c>
      <c r="M15" s="24">
        <f>K15/(1+Summary!$G$16)^($A15-1)</f>
        <v>0</v>
      </c>
      <c r="N15" s="24">
        <f t="shared" si="6"/>
        <v>0</v>
      </c>
    </row>
    <row r="16" spans="1:14" x14ac:dyDescent="0.4">
      <c r="A16" s="23">
        <v>14</v>
      </c>
      <c r="B16" s="42">
        <f>B15*(1-Summary!$G$19)</f>
        <v>0</v>
      </c>
      <c r="C16" s="25">
        <f>IF(A16&gt;Summary!$G$31,0,(C15*(1+Summary!$G$29)))</f>
        <v>0</v>
      </c>
      <c r="D16" s="24">
        <f t="shared" si="2"/>
        <v>0</v>
      </c>
      <c r="E16" s="41">
        <f>E15*(1+Summary!$G$15)</f>
        <v>9.1460386101126764E-2</v>
      </c>
      <c r="F16" s="41">
        <f t="shared" si="3"/>
        <v>0</v>
      </c>
      <c r="G16" s="22"/>
      <c r="H16" s="24">
        <f t="shared" si="7"/>
        <v>0</v>
      </c>
      <c r="I16" s="24">
        <f>I15*(1-Summary!$G$19)*(1+Summary!$G$15)</f>
        <v>0</v>
      </c>
      <c r="J16" s="24">
        <f t="shared" si="1"/>
        <v>0</v>
      </c>
      <c r="K16" s="24">
        <f t="shared" si="4"/>
        <v>0</v>
      </c>
      <c r="L16" s="24">
        <f t="shared" si="5"/>
        <v>0</v>
      </c>
      <c r="M16" s="24">
        <f>K16/(1+Summary!$G$16)^($A16-1)</f>
        <v>0</v>
      </c>
      <c r="N16" s="24">
        <f t="shared" si="6"/>
        <v>0</v>
      </c>
    </row>
    <row r="17" spans="1:15" x14ac:dyDescent="0.4">
      <c r="A17" s="43">
        <v>15</v>
      </c>
      <c r="B17" s="44">
        <f>B16*(1-Summary!$G$19)</f>
        <v>0</v>
      </c>
      <c r="C17" s="45">
        <f>IF(A17&gt;Summary!$G$31,0,(C16*(1+Summary!$G$29)))</f>
        <v>0</v>
      </c>
      <c r="D17" s="46">
        <f t="shared" si="2"/>
        <v>0</v>
      </c>
      <c r="E17" s="47">
        <f>E16*(1+Summary!$G$15)</f>
        <v>9.381091802392573E-2</v>
      </c>
      <c r="F17" s="47">
        <f t="shared" si="3"/>
        <v>0</v>
      </c>
      <c r="G17" s="48"/>
      <c r="H17" s="46">
        <f t="shared" si="7"/>
        <v>0</v>
      </c>
      <c r="I17" s="46">
        <f>I16*(1-Summary!$G$19)*(1+Summary!$G$15)</f>
        <v>0</v>
      </c>
      <c r="J17" s="46">
        <f t="shared" si="1"/>
        <v>0</v>
      </c>
      <c r="K17" s="81">
        <f t="shared" si="4"/>
        <v>0</v>
      </c>
      <c r="L17" s="46">
        <f t="shared" si="5"/>
        <v>0</v>
      </c>
      <c r="M17" s="46">
        <f>K17/(1+Summary!$G$16)^($A17-1)</f>
        <v>0</v>
      </c>
      <c r="N17" s="46">
        <f t="shared" si="6"/>
        <v>0</v>
      </c>
    </row>
    <row r="18" spans="1:15" x14ac:dyDescent="0.4">
      <c r="A18" s="23">
        <v>16</v>
      </c>
      <c r="B18" s="42">
        <f>B17*(1-Summary!$G$19)</f>
        <v>0</v>
      </c>
      <c r="C18" s="25">
        <f>IF(A18&gt;Summary!$G$31,0,(C17*(1+Summary!$G$29)))</f>
        <v>0</v>
      </c>
      <c r="D18" s="24">
        <f t="shared" si="2"/>
        <v>0</v>
      </c>
      <c r="E18" s="41">
        <f>E17*(1+Summary!$G$15)</f>
        <v>9.6221858617140624E-2</v>
      </c>
      <c r="F18" s="41">
        <f t="shared" si="3"/>
        <v>0</v>
      </c>
      <c r="G18" s="22"/>
      <c r="H18" s="24">
        <f t="shared" si="7"/>
        <v>0</v>
      </c>
      <c r="I18" s="24">
        <f>I17*(1-Summary!$G$19)*(1+Summary!$G$15)</f>
        <v>0</v>
      </c>
      <c r="J18" s="24">
        <f t="shared" si="1"/>
        <v>0</v>
      </c>
      <c r="K18" s="24">
        <f t="shared" si="4"/>
        <v>0</v>
      </c>
      <c r="L18" s="24">
        <f t="shared" si="5"/>
        <v>0</v>
      </c>
      <c r="M18" s="24">
        <f>K18/(1+Summary!$G$16)^($A18-1)</f>
        <v>0</v>
      </c>
      <c r="N18" s="24">
        <f t="shared" si="6"/>
        <v>0</v>
      </c>
    </row>
    <row r="19" spans="1:15" x14ac:dyDescent="0.4">
      <c r="A19" s="23">
        <v>17</v>
      </c>
      <c r="B19" s="42">
        <f>B18*(1-Summary!$G$19)</f>
        <v>0</v>
      </c>
      <c r="C19" s="25">
        <f>IF(A19&gt;Summary!$G$31,0,(C18*(1+Summary!$G$29)))</f>
        <v>0</v>
      </c>
      <c r="D19" s="24">
        <f t="shared" si="2"/>
        <v>0</v>
      </c>
      <c r="E19" s="41">
        <f>E18*(1+Summary!$G$15)</f>
        <v>9.8694760383601143E-2</v>
      </c>
      <c r="F19" s="41">
        <f t="shared" si="3"/>
        <v>0</v>
      </c>
      <c r="G19" s="22"/>
      <c r="H19" s="24">
        <f t="shared" si="7"/>
        <v>0</v>
      </c>
      <c r="I19" s="24">
        <f>I18*(1-Summary!$G$19)*(1+Summary!$G$15)</f>
        <v>0</v>
      </c>
      <c r="J19" s="24">
        <f t="shared" si="1"/>
        <v>0</v>
      </c>
      <c r="K19" s="24">
        <f t="shared" si="4"/>
        <v>0</v>
      </c>
      <c r="L19" s="24">
        <f t="shared" si="5"/>
        <v>0</v>
      </c>
      <c r="M19" s="24">
        <f>K19/(1+Summary!$G$16)^($A19-1)</f>
        <v>0</v>
      </c>
      <c r="N19" s="24">
        <f t="shared" si="6"/>
        <v>0</v>
      </c>
    </row>
    <row r="20" spans="1:15" x14ac:dyDescent="0.4">
      <c r="A20" s="23">
        <v>18</v>
      </c>
      <c r="B20" s="42">
        <f>B19*(1-Summary!$G$19)</f>
        <v>0</v>
      </c>
      <c r="C20" s="25">
        <f>IF(A20&gt;Summary!$G$31,0,(C19*(1+Summary!$G$29)))</f>
        <v>0</v>
      </c>
      <c r="D20" s="24">
        <f t="shared" si="2"/>
        <v>0</v>
      </c>
      <c r="E20" s="41">
        <f>E19*(1+Summary!$G$15)</f>
        <v>0.10123121572545969</v>
      </c>
      <c r="F20" s="41">
        <f t="shared" si="3"/>
        <v>0</v>
      </c>
      <c r="G20" s="22"/>
      <c r="H20" s="24">
        <f t="shared" si="7"/>
        <v>0</v>
      </c>
      <c r="I20" s="24">
        <f>I19*(1-Summary!$G$19)*(1+Summary!$G$15)</f>
        <v>0</v>
      </c>
      <c r="J20" s="24">
        <f t="shared" si="1"/>
        <v>0</v>
      </c>
      <c r="K20" s="24">
        <f t="shared" si="4"/>
        <v>0</v>
      </c>
      <c r="L20" s="24">
        <f t="shared" si="5"/>
        <v>0</v>
      </c>
      <c r="M20" s="24">
        <f>K20/(1+Summary!$G$16)^($A20-1)</f>
        <v>0</v>
      </c>
      <c r="N20" s="24">
        <f t="shared" si="6"/>
        <v>0</v>
      </c>
    </row>
    <row r="21" spans="1:15" x14ac:dyDescent="0.4">
      <c r="A21" s="23">
        <v>19</v>
      </c>
      <c r="B21" s="42">
        <f>B20*(1-Summary!$G$19)</f>
        <v>0</v>
      </c>
      <c r="C21" s="25">
        <f>IF(A21&gt;Summary!$G$31,0,(C20*(1+Summary!$G$29)))</f>
        <v>0</v>
      </c>
      <c r="D21" s="24">
        <f t="shared" si="2"/>
        <v>0</v>
      </c>
      <c r="E21" s="41">
        <f>E20*(1+Summary!$G$15)</f>
        <v>0.10383285796960401</v>
      </c>
      <c r="F21" s="41">
        <f t="shared" si="3"/>
        <v>0</v>
      </c>
      <c r="G21" s="22"/>
      <c r="H21" s="24">
        <f t="shared" si="7"/>
        <v>0</v>
      </c>
      <c r="I21" s="24">
        <f>I20*(1-Summary!$G$19)*(1+Summary!$G$15)</f>
        <v>0</v>
      </c>
      <c r="J21" s="24">
        <f t="shared" si="1"/>
        <v>0</v>
      </c>
      <c r="K21" s="24">
        <f t="shared" si="4"/>
        <v>0</v>
      </c>
      <c r="L21" s="24">
        <f t="shared" si="5"/>
        <v>0</v>
      </c>
      <c r="M21" s="24">
        <f>K21/(1+Summary!$G$16)^($A21-1)</f>
        <v>0</v>
      </c>
      <c r="N21" s="24">
        <f t="shared" si="6"/>
        <v>0</v>
      </c>
    </row>
    <row r="22" spans="1:15" x14ac:dyDescent="0.4">
      <c r="A22" s="43">
        <v>20</v>
      </c>
      <c r="B22" s="44">
        <f>B21*(1-Summary!$G$19)</f>
        <v>0</v>
      </c>
      <c r="C22" s="45">
        <f>IF(A22&gt;Summary!$G$31,0,(C21*(1+Summary!$G$29)))</f>
        <v>0</v>
      </c>
      <c r="D22" s="46">
        <f t="shared" si="2"/>
        <v>0</v>
      </c>
      <c r="E22" s="47">
        <f>E21*(1+Summary!$G$15)</f>
        <v>0.10650136241942283</v>
      </c>
      <c r="F22" s="47">
        <f t="shared" si="3"/>
        <v>0</v>
      </c>
      <c r="G22" s="48"/>
      <c r="H22" s="46">
        <f t="shared" si="7"/>
        <v>0</v>
      </c>
      <c r="I22" s="46">
        <f>I21*(1-Summary!$G$19)*(1+Summary!$G$15)</f>
        <v>0</v>
      </c>
      <c r="J22" s="46">
        <f t="shared" si="1"/>
        <v>0</v>
      </c>
      <c r="K22" s="81">
        <f t="shared" si="4"/>
        <v>0</v>
      </c>
      <c r="L22" s="46">
        <f t="shared" si="5"/>
        <v>0</v>
      </c>
      <c r="M22" s="46">
        <f>K22/(1+Summary!$G$16)^($A22-1)</f>
        <v>0</v>
      </c>
      <c r="N22" s="46">
        <f t="shared" si="6"/>
        <v>0</v>
      </c>
    </row>
    <row r="23" spans="1:15" x14ac:dyDescent="0.4">
      <c r="A23" s="23">
        <v>21</v>
      </c>
      <c r="B23" s="42">
        <f>B22*(1-Summary!$G$19)</f>
        <v>0</v>
      </c>
      <c r="C23" s="25">
        <f>IF(A23&gt;Summary!$G$31,0,(C22*(1+Summary!$G$29)))</f>
        <v>0</v>
      </c>
      <c r="D23" s="24">
        <f t="shared" si="2"/>
        <v>0</v>
      </c>
      <c r="E23" s="41">
        <f>E22*(1+Summary!$G$15)</f>
        <v>0.109238447433602</v>
      </c>
      <c r="F23" s="41">
        <f t="shared" si="3"/>
        <v>0</v>
      </c>
      <c r="G23" s="22"/>
      <c r="H23" s="24">
        <f t="shared" si="7"/>
        <v>0</v>
      </c>
      <c r="I23" s="24">
        <f>I22*(1-Summary!$G$19)*(1+Summary!$G$15)</f>
        <v>0</v>
      </c>
      <c r="J23" s="24">
        <f t="shared" si="1"/>
        <v>0</v>
      </c>
      <c r="K23" s="24">
        <f t="shared" si="4"/>
        <v>0</v>
      </c>
      <c r="L23" s="24">
        <f t="shared" si="5"/>
        <v>0</v>
      </c>
      <c r="M23" s="24">
        <f>K23/(1+Summary!$G$16)^($A23-1)</f>
        <v>0</v>
      </c>
      <c r="N23" s="24">
        <f t="shared" si="6"/>
        <v>0</v>
      </c>
    </row>
    <row r="24" spans="1:15" x14ac:dyDescent="0.4">
      <c r="A24" s="23">
        <v>22</v>
      </c>
      <c r="B24" s="42">
        <f>B23*(1-Summary!$G$19)</f>
        <v>0</v>
      </c>
      <c r="C24" s="25">
        <f>IF(A24&gt;Summary!$G$31,0,(C23*(1+Summary!$G$29)))</f>
        <v>0</v>
      </c>
      <c r="D24" s="24">
        <f t="shared" si="2"/>
        <v>0</v>
      </c>
      <c r="E24" s="41">
        <f>E23*(1+Summary!$G$15)</f>
        <v>0.11204587553264558</v>
      </c>
      <c r="F24" s="41">
        <f t="shared" si="3"/>
        <v>0</v>
      </c>
      <c r="G24" s="22"/>
      <c r="H24" s="24">
        <f t="shared" si="7"/>
        <v>0</v>
      </c>
      <c r="I24" s="24">
        <f>I23*(1-Summary!$G$19)*(1+Summary!$G$15)</f>
        <v>0</v>
      </c>
      <c r="J24" s="24">
        <f t="shared" si="1"/>
        <v>0</v>
      </c>
      <c r="K24" s="24">
        <f t="shared" si="4"/>
        <v>0</v>
      </c>
      <c r="L24" s="24">
        <f t="shared" si="5"/>
        <v>0</v>
      </c>
      <c r="M24" s="24">
        <f>K24/(1+Summary!$G$16)^($A24-1)</f>
        <v>0</v>
      </c>
      <c r="N24" s="24">
        <f t="shared" si="6"/>
        <v>0</v>
      </c>
    </row>
    <row r="25" spans="1:15" x14ac:dyDescent="0.4">
      <c r="A25" s="23">
        <v>23</v>
      </c>
      <c r="B25" s="42">
        <f>B24*(1-Summary!$G$19)</f>
        <v>0</v>
      </c>
      <c r="C25" s="25">
        <f>IF(A25&gt;Summary!$G$31,0,(C24*(1+Summary!$G$29)))</f>
        <v>0</v>
      </c>
      <c r="D25" s="24">
        <f t="shared" si="2"/>
        <v>0</v>
      </c>
      <c r="E25" s="41">
        <f>E24*(1+Summary!$G$15)</f>
        <v>0.11492545453383458</v>
      </c>
      <c r="F25" s="41">
        <f t="shared" si="3"/>
        <v>0</v>
      </c>
      <c r="G25" s="22"/>
      <c r="H25" s="24">
        <f t="shared" si="7"/>
        <v>0</v>
      </c>
      <c r="I25" s="24">
        <f>I24*(1-Summary!$G$19)*(1+Summary!$G$15)</f>
        <v>0</v>
      </c>
      <c r="J25" s="24">
        <f t="shared" si="1"/>
        <v>0</v>
      </c>
      <c r="K25" s="24">
        <f t="shared" si="4"/>
        <v>0</v>
      </c>
      <c r="L25" s="24">
        <f t="shared" si="5"/>
        <v>0</v>
      </c>
      <c r="M25" s="24">
        <f>K25/(1+Summary!$G$16)^($A25-1)</f>
        <v>0</v>
      </c>
      <c r="N25" s="24">
        <f t="shared" si="6"/>
        <v>0</v>
      </c>
    </row>
    <row r="26" spans="1:15" x14ac:dyDescent="0.4">
      <c r="A26" s="23">
        <v>24</v>
      </c>
      <c r="B26" s="42">
        <f>B25*(1-Summary!$G$19)</f>
        <v>0</v>
      </c>
      <c r="C26" s="25">
        <f>IF(A26&gt;Summary!$G$31,0,(C25*(1+Summary!$G$29)))</f>
        <v>0</v>
      </c>
      <c r="D26" s="24">
        <f t="shared" si="2"/>
        <v>0</v>
      </c>
      <c r="E26" s="41">
        <f>E25*(1+Summary!$G$15)</f>
        <v>0.11787903871535414</v>
      </c>
      <c r="F26" s="41">
        <f t="shared" si="3"/>
        <v>0</v>
      </c>
      <c r="G26" s="22"/>
      <c r="H26" s="24">
        <f t="shared" si="7"/>
        <v>0</v>
      </c>
      <c r="I26" s="24">
        <f>I25*(1-Summary!$G$19)*(1+Summary!$G$15)</f>
        <v>0</v>
      </c>
      <c r="J26" s="24">
        <f t="shared" si="1"/>
        <v>0</v>
      </c>
      <c r="K26" s="24">
        <f t="shared" si="4"/>
        <v>0</v>
      </c>
      <c r="L26" s="24">
        <f t="shared" si="5"/>
        <v>0</v>
      </c>
      <c r="M26" s="24">
        <f>K26/(1+Summary!$G$16)^($A26-1)</f>
        <v>0</v>
      </c>
      <c r="N26" s="24">
        <f t="shared" si="6"/>
        <v>0</v>
      </c>
    </row>
    <row r="27" spans="1:15" x14ac:dyDescent="0.4">
      <c r="A27" s="43">
        <v>25</v>
      </c>
      <c r="B27" s="44">
        <f>B26*(1-Summary!$G$19)</f>
        <v>0</v>
      </c>
      <c r="C27" s="45">
        <f>IF(A27&gt;Summary!$G$31,0,(C26*(1+Summary!$G$29)))</f>
        <v>0</v>
      </c>
      <c r="D27" s="46">
        <f t="shared" si="2"/>
        <v>0</v>
      </c>
      <c r="E27" s="47">
        <f>E26*(1+Summary!$G$15)</f>
        <v>0.12090853001033874</v>
      </c>
      <c r="F27" s="47">
        <f t="shared" si="3"/>
        <v>0</v>
      </c>
      <c r="G27" s="48"/>
      <c r="H27" s="46">
        <f t="shared" si="7"/>
        <v>0</v>
      </c>
      <c r="I27" s="46">
        <f>I26*(1-Summary!$G$19)*(1+Summary!$G$15)</f>
        <v>0</v>
      </c>
      <c r="J27" s="46">
        <f t="shared" si="1"/>
        <v>0</v>
      </c>
      <c r="K27" s="81">
        <f t="shared" si="4"/>
        <v>0</v>
      </c>
      <c r="L27" s="46">
        <f t="shared" si="5"/>
        <v>0</v>
      </c>
      <c r="M27" s="46">
        <f>K27/(1+Summary!$G$16)^($A27-1)</f>
        <v>0</v>
      </c>
      <c r="N27" s="46">
        <f t="shared" si="6"/>
        <v>0</v>
      </c>
    </row>
    <row r="28" spans="1:15" x14ac:dyDescent="0.4">
      <c r="A28" s="23">
        <v>26</v>
      </c>
      <c r="B28" s="42">
        <f>B27*(1-Summary!$G$19)</f>
        <v>0</v>
      </c>
      <c r="C28" s="25">
        <f>IF(A28&gt;Summary!$G$31,0,(C27*(1+Summary!$G$29)))</f>
        <v>0</v>
      </c>
      <c r="D28" s="24">
        <f t="shared" si="2"/>
        <v>0</v>
      </c>
      <c r="E28" s="41">
        <f>E27*(1+Summary!$G$15)</f>
        <v>0.12401587923160445</v>
      </c>
      <c r="F28" s="41">
        <f t="shared" si="3"/>
        <v>0</v>
      </c>
      <c r="G28" s="22"/>
      <c r="H28" s="24">
        <f t="shared" si="7"/>
        <v>0</v>
      </c>
      <c r="I28" s="24">
        <f>I27*(1-Summary!$G$19)*(1+Summary!$G$15)</f>
        <v>0</v>
      </c>
      <c r="J28" s="24">
        <f t="shared" si="1"/>
        <v>0</v>
      </c>
      <c r="K28" s="24">
        <f t="shared" si="4"/>
        <v>0</v>
      </c>
      <c r="L28" s="24">
        <f t="shared" si="5"/>
        <v>0</v>
      </c>
      <c r="M28" s="24">
        <f>K28/(1+Summary!$G$16)^($A28-1)</f>
        <v>0</v>
      </c>
      <c r="N28" s="24">
        <f t="shared" si="6"/>
        <v>0</v>
      </c>
    </row>
    <row r="29" spans="1:15" x14ac:dyDescent="0.4">
      <c r="A29" s="23">
        <v>27</v>
      </c>
      <c r="B29" s="42">
        <f>B28*(1-Summary!$G$19)</f>
        <v>0</v>
      </c>
      <c r="C29" s="25">
        <f>IF(A29&gt;Summary!$G$31,0,(C28*(1+Summary!$G$29)))</f>
        <v>0</v>
      </c>
      <c r="D29" s="24">
        <f t="shared" si="2"/>
        <v>0</v>
      </c>
      <c r="E29" s="41">
        <f>E28*(1+Summary!$G$15)</f>
        <v>0.12720308732785671</v>
      </c>
      <c r="F29" s="41">
        <f t="shared" si="3"/>
        <v>0</v>
      </c>
      <c r="G29" s="22"/>
      <c r="H29" s="24">
        <f t="shared" si="7"/>
        <v>0</v>
      </c>
      <c r="I29" s="24">
        <f>I28*(1-Summary!$G$19)*(1+Summary!$G$15)</f>
        <v>0</v>
      </c>
      <c r="J29" s="24">
        <f t="shared" si="1"/>
        <v>0</v>
      </c>
      <c r="K29" s="24">
        <f t="shared" si="4"/>
        <v>0</v>
      </c>
      <c r="L29" s="24">
        <f t="shared" si="5"/>
        <v>0</v>
      </c>
      <c r="M29" s="24">
        <f>K29/(1+Summary!$G$16)^($A29-1)</f>
        <v>0</v>
      </c>
      <c r="N29" s="24">
        <f t="shared" si="6"/>
        <v>0</v>
      </c>
    </row>
    <row r="30" spans="1:15" x14ac:dyDescent="0.4">
      <c r="A30" s="23">
        <v>28</v>
      </c>
      <c r="B30" s="42">
        <f>B29*(1-Summary!$G$19)</f>
        <v>0</v>
      </c>
      <c r="C30" s="25">
        <f>IF(A30&gt;Summary!$G$31,0,(C29*(1+Summary!$G$29)))</f>
        <v>0</v>
      </c>
      <c r="D30" s="24">
        <f t="shared" si="2"/>
        <v>0</v>
      </c>
      <c r="E30" s="41">
        <f>E29*(1+Summary!$G$15)</f>
        <v>0.13047220667218262</v>
      </c>
      <c r="F30" s="41">
        <f t="shared" si="3"/>
        <v>0</v>
      </c>
      <c r="G30" s="22"/>
      <c r="H30" s="24">
        <f t="shared" si="7"/>
        <v>0</v>
      </c>
      <c r="I30" s="24">
        <f>I29*(1-Summary!$G$19)*(1+Summary!$G$15)</f>
        <v>0</v>
      </c>
      <c r="J30" s="24">
        <f t="shared" si="1"/>
        <v>0</v>
      </c>
      <c r="K30" s="24">
        <f t="shared" si="4"/>
        <v>0</v>
      </c>
      <c r="L30" s="24">
        <f t="shared" si="5"/>
        <v>0</v>
      </c>
      <c r="M30" s="24">
        <f>K30/(1+Summary!$G$16)^($A30-1)</f>
        <v>0</v>
      </c>
      <c r="N30" s="24">
        <f t="shared" si="6"/>
        <v>0</v>
      </c>
    </row>
    <row r="31" spans="1:15" x14ac:dyDescent="0.4">
      <c r="A31" s="23">
        <v>29</v>
      </c>
      <c r="B31" s="42">
        <f>B30*(1-Summary!$G$19)</f>
        <v>0</v>
      </c>
      <c r="C31" s="25">
        <f>IF(A31&gt;Summary!$G$31,0,(C30*(1+Summary!$G$29)))</f>
        <v>0</v>
      </c>
      <c r="D31" s="24">
        <f t="shared" si="2"/>
        <v>0</v>
      </c>
      <c r="E31" s="41">
        <f>E30*(1+Summary!$G$15)</f>
        <v>0.13382534238365773</v>
      </c>
      <c r="F31" s="41">
        <f t="shared" si="3"/>
        <v>0</v>
      </c>
      <c r="G31" s="22"/>
      <c r="H31" s="24">
        <f t="shared" si="7"/>
        <v>0</v>
      </c>
      <c r="I31" s="24">
        <f>I30*(1-Summary!$G$19)*(1+Summary!$G$15)</f>
        <v>0</v>
      </c>
      <c r="J31" s="24">
        <f t="shared" si="1"/>
        <v>0</v>
      </c>
      <c r="K31" s="24">
        <f t="shared" si="4"/>
        <v>0</v>
      </c>
      <c r="L31" s="24">
        <f t="shared" si="5"/>
        <v>0</v>
      </c>
      <c r="M31" s="24">
        <f>K31/(1+Summary!$G$16)^($A31-1)</f>
        <v>0</v>
      </c>
      <c r="N31" s="24">
        <f t="shared" si="6"/>
        <v>0</v>
      </c>
    </row>
    <row r="32" spans="1:15" x14ac:dyDescent="0.4">
      <c r="A32" s="43">
        <v>30</v>
      </c>
      <c r="B32" s="44">
        <f>B31*(1-Summary!$G$19)</f>
        <v>0</v>
      </c>
      <c r="C32" s="45">
        <f>IF(A32&gt;Summary!$G$31,0,(C31*(1+Summary!$G$29)))</f>
        <v>0</v>
      </c>
      <c r="D32" s="46">
        <f t="shared" si="2"/>
        <v>0</v>
      </c>
      <c r="E32" s="47">
        <f>E31*(1+Summary!$G$15)</f>
        <v>0.13726465368291774</v>
      </c>
      <c r="F32" s="47">
        <f t="shared" si="3"/>
        <v>0</v>
      </c>
      <c r="G32" s="48"/>
      <c r="H32" s="46">
        <f t="shared" si="7"/>
        <v>0</v>
      </c>
      <c r="I32" s="46">
        <f>I31*(1-Summary!$G$19)*(1+Summary!$G$15)</f>
        <v>0</v>
      </c>
      <c r="J32" s="46">
        <f t="shared" si="1"/>
        <v>0</v>
      </c>
      <c r="K32" s="81">
        <f t="shared" si="4"/>
        <v>0</v>
      </c>
      <c r="L32" s="46">
        <f t="shared" si="5"/>
        <v>0</v>
      </c>
      <c r="M32" s="46">
        <f>K32/(1+Summary!$G$16)^($A32-1)</f>
        <v>0</v>
      </c>
      <c r="N32" s="46">
        <f t="shared" si="6"/>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D1102"/>
  <sheetViews>
    <sheetView workbookViewId="0">
      <selection activeCell="G40" sqref="G40"/>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Summary!H24</f>
        <v>SITE 5</v>
      </c>
      <c r="C1" s="19"/>
      <c r="D1" s="19"/>
      <c r="E1" s="19"/>
      <c r="F1" s="19"/>
      <c r="G1" s="19"/>
      <c r="H1" s="19"/>
      <c r="I1" s="19"/>
      <c r="J1" s="19"/>
      <c r="K1" s="19"/>
      <c r="L1" s="20"/>
      <c r="M1" s="20"/>
      <c r="N1" s="20"/>
    </row>
    <row r="2" spans="1:14" ht="58.3" x14ac:dyDescent="0.4">
      <c r="A2" s="40"/>
      <c r="B2" s="40" t="s">
        <v>45</v>
      </c>
      <c r="C2" s="53" t="s">
        <v>38</v>
      </c>
      <c r="D2" s="53" t="s">
        <v>32</v>
      </c>
      <c r="E2" s="54" t="s">
        <v>46</v>
      </c>
      <c r="F2" s="54" t="s">
        <v>39</v>
      </c>
      <c r="G2" s="55" t="s">
        <v>155</v>
      </c>
      <c r="H2" s="55" t="s">
        <v>156</v>
      </c>
      <c r="I2" s="55" t="s">
        <v>114</v>
      </c>
      <c r="J2" s="40" t="s">
        <v>47</v>
      </c>
      <c r="K2" s="40" t="s">
        <v>33</v>
      </c>
      <c r="L2" s="40" t="s">
        <v>34</v>
      </c>
      <c r="M2" s="40" t="s">
        <v>35</v>
      </c>
      <c r="N2" s="40" t="s">
        <v>36</v>
      </c>
    </row>
    <row r="3" spans="1:14" x14ac:dyDescent="0.4">
      <c r="A3" s="23">
        <v>1</v>
      </c>
      <c r="B3" s="42">
        <f>Summary!H27</f>
        <v>0</v>
      </c>
      <c r="C3" s="25">
        <f>Summary!H28</f>
        <v>0</v>
      </c>
      <c r="D3" s="24">
        <f>B3*C3*-1</f>
        <v>0</v>
      </c>
      <c r="E3" s="41">
        <f>VLOOKUP(Summary!H25,Summary!V4:AF6,11,FALSE)</f>
        <v>6.5761E-2</v>
      </c>
      <c r="F3" s="41">
        <f>B3*E3</f>
        <v>0</v>
      </c>
      <c r="G3" s="22">
        <f>IF(Summary!$H$26&lt;=40,Summary!$G$18,Summary!$G$17)</f>
        <v>0.08</v>
      </c>
      <c r="H3" s="75">
        <f t="shared" ref="H3:H12" si="0">G3*B3</f>
        <v>0</v>
      </c>
      <c r="I3" s="75">
        <f>IFERROR('Demand Charge Calculations'!B52,0)</f>
        <v>0</v>
      </c>
      <c r="J3" s="24">
        <f t="shared" ref="J3:J32" si="1">D3*-1-H3</f>
        <v>0</v>
      </c>
      <c r="K3" s="24">
        <f>F3+D3+H3+I3</f>
        <v>0</v>
      </c>
      <c r="L3" s="24">
        <f>K3</f>
        <v>0</v>
      </c>
      <c r="M3" s="24">
        <f>K3/(1+Summary!$G$16)^($A3-1)</f>
        <v>0</v>
      </c>
      <c r="N3" s="24">
        <f>M3</f>
        <v>0</v>
      </c>
    </row>
    <row r="4" spans="1:14" x14ac:dyDescent="0.4">
      <c r="A4" s="23">
        <v>2</v>
      </c>
      <c r="B4" s="42">
        <f>B3*(1-Summary!$G$19)</f>
        <v>0</v>
      </c>
      <c r="C4" s="25">
        <f>IF(A4&gt;Summary!$H$31,0,(C3*(1+Summary!$H$29)))</f>
        <v>0</v>
      </c>
      <c r="D4" s="24">
        <f t="shared" ref="D4:D32" si="2">B4*C4*-1</f>
        <v>0</v>
      </c>
      <c r="E4" s="41">
        <f>E3*(1+Summary!$G$15)</f>
        <v>6.7451057699999997E-2</v>
      </c>
      <c r="F4" s="41">
        <f t="shared" ref="F4:F32" si="3">B4*E4</f>
        <v>0</v>
      </c>
      <c r="G4" s="22">
        <f>IF(Summary!$H$26&lt;=40,Summary!$G$18,Summary!$G$17)</f>
        <v>0.08</v>
      </c>
      <c r="H4" s="75">
        <f t="shared" si="0"/>
        <v>0</v>
      </c>
      <c r="I4" s="75">
        <f>I3*(1-Summary!$G$19)*(1+Summary!$G$15)</f>
        <v>0</v>
      </c>
      <c r="J4" s="24">
        <f t="shared" si="1"/>
        <v>0</v>
      </c>
      <c r="K4" s="24">
        <f t="shared" ref="K4:K32" si="4">F4+D4+H4+I4</f>
        <v>0</v>
      </c>
      <c r="L4" s="24">
        <f t="shared" ref="L4:L32" si="5">L3+K4</f>
        <v>0</v>
      </c>
      <c r="M4" s="24">
        <f>K4/(1+Summary!$G$16)^($A4-1)</f>
        <v>0</v>
      </c>
      <c r="N4" s="24">
        <f>M4+N3</f>
        <v>0</v>
      </c>
    </row>
    <row r="5" spans="1:14" x14ac:dyDescent="0.4">
      <c r="A5" s="23">
        <v>3</v>
      </c>
      <c r="B5" s="42">
        <f>B4*(1-Summary!$G$19)</f>
        <v>0</v>
      </c>
      <c r="C5" s="25">
        <f>IF(A5&gt;Summary!$H$31,0,(C4*(1+Summary!$H$29)))</f>
        <v>0</v>
      </c>
      <c r="D5" s="24">
        <f t="shared" si="2"/>
        <v>0</v>
      </c>
      <c r="E5" s="41">
        <f>E4*(1+Summary!$G$15)</f>
        <v>6.9184549882889995E-2</v>
      </c>
      <c r="F5" s="41">
        <f t="shared" si="3"/>
        <v>0</v>
      </c>
      <c r="G5" s="22">
        <f>IF(Summary!$H$26&lt;=40,Summary!$G$18,Summary!$G$17)</f>
        <v>0.08</v>
      </c>
      <c r="H5" s="75">
        <f t="shared" si="0"/>
        <v>0</v>
      </c>
      <c r="I5" s="75">
        <f>I4*(1-Summary!$G$19)*(1+Summary!$G$15)</f>
        <v>0</v>
      </c>
      <c r="J5" s="24">
        <f t="shared" si="1"/>
        <v>0</v>
      </c>
      <c r="K5" s="24">
        <f t="shared" si="4"/>
        <v>0</v>
      </c>
      <c r="L5" s="24">
        <f t="shared" si="5"/>
        <v>0</v>
      </c>
      <c r="M5" s="24">
        <f>K5/(1+Summary!$G$16)^($A5-1)</f>
        <v>0</v>
      </c>
      <c r="N5" s="24">
        <f t="shared" ref="N5:N32" si="6">M5+N4</f>
        <v>0</v>
      </c>
    </row>
    <row r="6" spans="1:14" x14ac:dyDescent="0.4">
      <c r="A6" s="23">
        <v>4</v>
      </c>
      <c r="B6" s="42">
        <f>B5*(1-Summary!$G$19)</f>
        <v>0</v>
      </c>
      <c r="C6" s="25">
        <f>IF(A6&gt;Summary!$H$31,0,(C5*(1+Summary!$H$29)))</f>
        <v>0</v>
      </c>
      <c r="D6" s="24">
        <f t="shared" si="2"/>
        <v>0</v>
      </c>
      <c r="E6" s="41">
        <f>E5*(1+Summary!$G$15)</f>
        <v>7.0962592814880265E-2</v>
      </c>
      <c r="F6" s="41">
        <f t="shared" si="3"/>
        <v>0</v>
      </c>
      <c r="G6" s="22">
        <f>IF(Summary!$H$26&lt;=40,Summary!$G$18,Summary!$G$17)</f>
        <v>0.08</v>
      </c>
      <c r="H6" s="75">
        <f t="shared" si="0"/>
        <v>0</v>
      </c>
      <c r="I6" s="75">
        <f>I5*(1-Summary!$G$19)*(1+Summary!$G$15)</f>
        <v>0</v>
      </c>
      <c r="J6" s="24">
        <f t="shared" si="1"/>
        <v>0</v>
      </c>
      <c r="K6" s="24">
        <f t="shared" si="4"/>
        <v>0</v>
      </c>
      <c r="L6" s="24">
        <f t="shared" si="5"/>
        <v>0</v>
      </c>
      <c r="M6" s="24">
        <f>K6/(1+Summary!$G$16)^($A6-1)</f>
        <v>0</v>
      </c>
      <c r="N6" s="24">
        <f t="shared" si="6"/>
        <v>0</v>
      </c>
    </row>
    <row r="7" spans="1:14" x14ac:dyDescent="0.4">
      <c r="A7" s="43">
        <v>5</v>
      </c>
      <c r="B7" s="44">
        <f>B6*(1-Summary!$G$19)</f>
        <v>0</v>
      </c>
      <c r="C7" s="45">
        <f>IF(A7&gt;Summary!$H$31,0,(C6*(1+Summary!$H$29)))</f>
        <v>0</v>
      </c>
      <c r="D7" s="46">
        <f t="shared" si="2"/>
        <v>0</v>
      </c>
      <c r="E7" s="47">
        <f>E6*(1+Summary!$G$15)</f>
        <v>7.2786331450222688E-2</v>
      </c>
      <c r="F7" s="47">
        <f t="shared" si="3"/>
        <v>0</v>
      </c>
      <c r="G7" s="83">
        <f>IF(Summary!$H$26&lt;=40,Summary!$G$18,Summary!$G$17)</f>
        <v>0.08</v>
      </c>
      <c r="H7" s="81">
        <f t="shared" si="0"/>
        <v>0</v>
      </c>
      <c r="I7" s="81">
        <f>I6*(1-Summary!$G$19)*(1+Summary!$G$15)</f>
        <v>0</v>
      </c>
      <c r="J7" s="46">
        <f t="shared" si="1"/>
        <v>0</v>
      </c>
      <c r="K7" s="81">
        <f t="shared" si="4"/>
        <v>0</v>
      </c>
      <c r="L7" s="46">
        <f t="shared" si="5"/>
        <v>0</v>
      </c>
      <c r="M7" s="46">
        <f>K7/(1+Summary!$G$16)^($A7-1)</f>
        <v>0</v>
      </c>
      <c r="N7" s="46">
        <f t="shared" si="6"/>
        <v>0</v>
      </c>
    </row>
    <row r="8" spans="1:14" x14ac:dyDescent="0.4">
      <c r="A8" s="23">
        <v>6</v>
      </c>
      <c r="B8" s="42">
        <f>B7*(1-Summary!$G$19)</f>
        <v>0</v>
      </c>
      <c r="C8" s="25">
        <f>IF(A8&gt;Summary!$H$31,0,(C7*(1+Summary!$H$29)))</f>
        <v>0</v>
      </c>
      <c r="D8" s="24">
        <f t="shared" si="2"/>
        <v>0</v>
      </c>
      <c r="E8" s="41">
        <f>E7*(1+Summary!$G$15)</f>
        <v>7.4656940168493419E-2</v>
      </c>
      <c r="F8" s="41">
        <f t="shared" si="3"/>
        <v>0</v>
      </c>
      <c r="G8" s="22">
        <f>IF(Summary!$H$26&lt;=40,Summary!$G$18,Summary!$G$17)</f>
        <v>0.08</v>
      </c>
      <c r="H8" s="75">
        <f t="shared" si="0"/>
        <v>0</v>
      </c>
      <c r="I8" s="75">
        <f>I7*(1-Summary!$G$19)*(1+Summary!$G$15)</f>
        <v>0</v>
      </c>
      <c r="J8" s="24">
        <f t="shared" si="1"/>
        <v>0</v>
      </c>
      <c r="K8" s="24">
        <f t="shared" si="4"/>
        <v>0</v>
      </c>
      <c r="L8" s="24">
        <f t="shared" si="5"/>
        <v>0</v>
      </c>
      <c r="M8" s="24">
        <f>K8/(1+Summary!$G$16)^($A8-1)</f>
        <v>0</v>
      </c>
      <c r="N8" s="24">
        <f t="shared" si="6"/>
        <v>0</v>
      </c>
    </row>
    <row r="9" spans="1:14" x14ac:dyDescent="0.4">
      <c r="A9" s="23">
        <v>7</v>
      </c>
      <c r="B9" s="42">
        <f>B8*(1-Summary!$G$19)</f>
        <v>0</v>
      </c>
      <c r="C9" s="25">
        <f>IF(A9&gt;Summary!$H$31,0,(C8*(1+Summary!$H$29)))</f>
        <v>0</v>
      </c>
      <c r="D9" s="24">
        <f t="shared" si="2"/>
        <v>0</v>
      </c>
      <c r="E9" s="41">
        <f>E8*(1+Summary!$G$15)</f>
        <v>7.65756235308237E-2</v>
      </c>
      <c r="F9" s="41">
        <f t="shared" si="3"/>
        <v>0</v>
      </c>
      <c r="G9" s="22">
        <f>IF(Summary!$H$26&lt;=40,Summary!$G$18,0)</f>
        <v>0.08</v>
      </c>
      <c r="H9" s="75">
        <f t="shared" si="0"/>
        <v>0</v>
      </c>
      <c r="I9" s="75">
        <f>I8*(1-Summary!$G$19)*(1+Summary!$G$15)</f>
        <v>0</v>
      </c>
      <c r="J9" s="24">
        <f t="shared" si="1"/>
        <v>0</v>
      </c>
      <c r="K9" s="24">
        <f t="shared" si="4"/>
        <v>0</v>
      </c>
      <c r="L9" s="24">
        <f t="shared" si="5"/>
        <v>0</v>
      </c>
      <c r="M9" s="24">
        <f>K9/(1+Summary!$G$16)^($A9-1)</f>
        <v>0</v>
      </c>
      <c r="N9" s="24">
        <f t="shared" si="6"/>
        <v>0</v>
      </c>
    </row>
    <row r="10" spans="1:14" x14ac:dyDescent="0.4">
      <c r="A10" s="23">
        <v>8</v>
      </c>
      <c r="B10" s="42">
        <f>B9*(1-Summary!$G$19)</f>
        <v>0</v>
      </c>
      <c r="C10" s="25">
        <f>IF(A10&gt;Summary!$H$31,0,(C9*(1+Summary!$H$29)))</f>
        <v>0</v>
      </c>
      <c r="D10" s="24">
        <f t="shared" si="2"/>
        <v>0</v>
      </c>
      <c r="E10" s="41">
        <f>E9*(1+Summary!$G$15)</f>
        <v>7.8543617055565867E-2</v>
      </c>
      <c r="F10" s="41">
        <f t="shared" si="3"/>
        <v>0</v>
      </c>
      <c r="G10" s="22">
        <f>IF(Summary!$H$26&lt;=40,Summary!$G$18,0)</f>
        <v>0.08</v>
      </c>
      <c r="H10" s="75">
        <f t="shared" si="0"/>
        <v>0</v>
      </c>
      <c r="I10" s="75">
        <f>I9*(1-Summary!$G$19)*(1+Summary!$G$15)</f>
        <v>0</v>
      </c>
      <c r="J10" s="24">
        <f t="shared" si="1"/>
        <v>0</v>
      </c>
      <c r="K10" s="24">
        <f t="shared" si="4"/>
        <v>0</v>
      </c>
      <c r="L10" s="24">
        <f t="shared" si="5"/>
        <v>0</v>
      </c>
      <c r="M10" s="24">
        <f>K10/(1+Summary!$G$16)^($A10-1)</f>
        <v>0</v>
      </c>
      <c r="N10" s="24">
        <f t="shared" si="6"/>
        <v>0</v>
      </c>
    </row>
    <row r="11" spans="1:14" x14ac:dyDescent="0.4">
      <c r="A11" s="23">
        <v>9</v>
      </c>
      <c r="B11" s="42">
        <f>B10*(1-Summary!$G$19)</f>
        <v>0</v>
      </c>
      <c r="C11" s="25">
        <f>IF(A11&gt;Summary!$H$31,0,(C10*(1+Summary!$H$29)))</f>
        <v>0</v>
      </c>
      <c r="D11" s="24">
        <f t="shared" si="2"/>
        <v>0</v>
      </c>
      <c r="E11" s="41">
        <f>E10*(1+Summary!$G$15)</f>
        <v>8.0562188013893921E-2</v>
      </c>
      <c r="F11" s="41">
        <f t="shared" si="3"/>
        <v>0</v>
      </c>
      <c r="G11" s="22">
        <f>IF(Summary!$H$26&lt;=40,Summary!$G$18,0)</f>
        <v>0.08</v>
      </c>
      <c r="H11" s="75">
        <f t="shared" si="0"/>
        <v>0</v>
      </c>
      <c r="I11" s="75">
        <f>I10*(1-Summary!$G$19)*(1+Summary!$G$15)</f>
        <v>0</v>
      </c>
      <c r="J11" s="24">
        <f t="shared" si="1"/>
        <v>0</v>
      </c>
      <c r="K11" s="24">
        <f t="shared" si="4"/>
        <v>0</v>
      </c>
      <c r="L11" s="24">
        <f t="shared" si="5"/>
        <v>0</v>
      </c>
      <c r="M11" s="24">
        <f>K11/(1+Summary!$G$16)^($A11-1)</f>
        <v>0</v>
      </c>
      <c r="N11" s="24">
        <f t="shared" si="6"/>
        <v>0</v>
      </c>
    </row>
    <row r="12" spans="1:14" x14ac:dyDescent="0.4">
      <c r="A12" s="43">
        <v>10</v>
      </c>
      <c r="B12" s="44">
        <f>B11*(1-Summary!$G$19)</f>
        <v>0</v>
      </c>
      <c r="C12" s="45">
        <f>IF(A12&gt;Summary!$H$31,0,(C11*(1+Summary!$H$29)))</f>
        <v>0</v>
      </c>
      <c r="D12" s="46">
        <f t="shared" si="2"/>
        <v>0</v>
      </c>
      <c r="E12" s="47">
        <f>E11*(1+Summary!$G$15)</f>
        <v>8.2632636245851002E-2</v>
      </c>
      <c r="F12" s="47">
        <f t="shared" si="3"/>
        <v>0</v>
      </c>
      <c r="G12" s="83">
        <f>IF(Summary!$H$26&lt;=40,Summary!$G$18,0)</f>
        <v>0.08</v>
      </c>
      <c r="H12" s="81">
        <f t="shared" si="0"/>
        <v>0</v>
      </c>
      <c r="I12" s="81">
        <f>I11*(1-Summary!$G$19)*(1+Summary!$G$15)</f>
        <v>0</v>
      </c>
      <c r="J12" s="46">
        <f t="shared" si="1"/>
        <v>0</v>
      </c>
      <c r="K12" s="81">
        <f t="shared" si="4"/>
        <v>0</v>
      </c>
      <c r="L12" s="46">
        <f t="shared" si="5"/>
        <v>0</v>
      </c>
      <c r="M12" s="46">
        <f>K12/(1+Summary!$G$16)^($A12-1)</f>
        <v>0</v>
      </c>
      <c r="N12" s="46">
        <f t="shared" si="6"/>
        <v>0</v>
      </c>
    </row>
    <row r="13" spans="1:14" x14ac:dyDescent="0.4">
      <c r="A13" s="23">
        <v>11</v>
      </c>
      <c r="B13" s="42">
        <f>B12*(1-Summary!$G$19)</f>
        <v>0</v>
      </c>
      <c r="C13" s="25">
        <f>IF(A13&gt;Summary!$H$31,0,(C12*(1+Summary!$H$29)))</f>
        <v>0</v>
      </c>
      <c r="D13" s="24">
        <f t="shared" si="2"/>
        <v>0</v>
      </c>
      <c r="E13" s="41">
        <f>E12*(1+Summary!$G$15)</f>
        <v>8.4756294997369377E-2</v>
      </c>
      <c r="F13" s="41">
        <f t="shared" si="3"/>
        <v>0</v>
      </c>
      <c r="G13" s="22"/>
      <c r="H13" s="24">
        <f t="shared" ref="H13:H32" si="7">G13*B13</f>
        <v>0</v>
      </c>
      <c r="I13" s="24">
        <f>I12*(1-Summary!$G$19)*(1+Summary!$G$15)</f>
        <v>0</v>
      </c>
      <c r="J13" s="24">
        <f t="shared" si="1"/>
        <v>0</v>
      </c>
      <c r="K13" s="24">
        <f t="shared" si="4"/>
        <v>0</v>
      </c>
      <c r="L13" s="24">
        <f t="shared" si="5"/>
        <v>0</v>
      </c>
      <c r="M13" s="24">
        <f>K13/(1+Summary!$G$16)^($A13-1)</f>
        <v>0</v>
      </c>
      <c r="N13" s="24">
        <f t="shared" si="6"/>
        <v>0</v>
      </c>
    </row>
    <row r="14" spans="1:14" x14ac:dyDescent="0.4">
      <c r="A14" s="23">
        <v>12</v>
      </c>
      <c r="B14" s="42">
        <f>B13*(1-Summary!$G$19)</f>
        <v>0</v>
      </c>
      <c r="C14" s="25">
        <f>IF(A14&gt;Summary!$H$31,0,(C13*(1+Summary!$H$29)))</f>
        <v>0</v>
      </c>
      <c r="D14" s="24">
        <f t="shared" si="2"/>
        <v>0</v>
      </c>
      <c r="E14" s="41">
        <f>E13*(1+Summary!$G$15)</f>
        <v>8.6934531778801769E-2</v>
      </c>
      <c r="F14" s="41">
        <f t="shared" si="3"/>
        <v>0</v>
      </c>
      <c r="G14" s="22"/>
      <c r="H14" s="24">
        <f t="shared" si="7"/>
        <v>0</v>
      </c>
      <c r="I14" s="24">
        <f>I13*(1-Summary!$G$19)*(1+Summary!$G$15)</f>
        <v>0</v>
      </c>
      <c r="J14" s="24">
        <f t="shared" si="1"/>
        <v>0</v>
      </c>
      <c r="K14" s="24">
        <f t="shared" si="4"/>
        <v>0</v>
      </c>
      <c r="L14" s="24">
        <f t="shared" si="5"/>
        <v>0</v>
      </c>
      <c r="M14" s="24">
        <f>K14/(1+Summary!$G$16)^($A14-1)</f>
        <v>0</v>
      </c>
      <c r="N14" s="24">
        <f t="shared" si="6"/>
        <v>0</v>
      </c>
    </row>
    <row r="15" spans="1:14" x14ac:dyDescent="0.4">
      <c r="A15" s="23">
        <v>13</v>
      </c>
      <c r="B15" s="42">
        <f>B14*(1-Summary!$G$19)</f>
        <v>0</v>
      </c>
      <c r="C15" s="25">
        <f>IF(A15&gt;Summary!$H$31,0,(C14*(1+Summary!$H$29)))</f>
        <v>0</v>
      </c>
      <c r="D15" s="24">
        <f t="shared" si="2"/>
        <v>0</v>
      </c>
      <c r="E15" s="41">
        <f>E14*(1+Summary!$G$15)</f>
        <v>8.9168749245516973E-2</v>
      </c>
      <c r="F15" s="41">
        <f t="shared" si="3"/>
        <v>0</v>
      </c>
      <c r="G15" s="22"/>
      <c r="H15" s="24">
        <f t="shared" si="7"/>
        <v>0</v>
      </c>
      <c r="I15" s="24">
        <f>I14*(1-Summary!$G$19)*(1+Summary!$G$15)</f>
        <v>0</v>
      </c>
      <c r="J15" s="24">
        <f t="shared" si="1"/>
        <v>0</v>
      </c>
      <c r="K15" s="24">
        <f t="shared" si="4"/>
        <v>0</v>
      </c>
      <c r="L15" s="24">
        <f t="shared" si="5"/>
        <v>0</v>
      </c>
      <c r="M15" s="24">
        <f>K15/(1+Summary!$G$16)^($A15-1)</f>
        <v>0</v>
      </c>
      <c r="N15" s="24">
        <f t="shared" si="6"/>
        <v>0</v>
      </c>
    </row>
    <row r="16" spans="1:14" x14ac:dyDescent="0.4">
      <c r="A16" s="23">
        <v>14</v>
      </c>
      <c r="B16" s="42">
        <f>B15*(1-Summary!$G$19)</f>
        <v>0</v>
      </c>
      <c r="C16" s="25">
        <f>IF(A16&gt;Summary!$H$31,0,(C15*(1+Summary!$H$29)))</f>
        <v>0</v>
      </c>
      <c r="D16" s="24">
        <f t="shared" si="2"/>
        <v>0</v>
      </c>
      <c r="E16" s="41">
        <f>E15*(1+Summary!$G$15)</f>
        <v>9.1460386101126764E-2</v>
      </c>
      <c r="F16" s="41">
        <f t="shared" si="3"/>
        <v>0</v>
      </c>
      <c r="G16" s="22"/>
      <c r="H16" s="24">
        <f t="shared" si="7"/>
        <v>0</v>
      </c>
      <c r="I16" s="24">
        <f>I15*(1-Summary!$G$19)*(1+Summary!$G$15)</f>
        <v>0</v>
      </c>
      <c r="J16" s="24">
        <f t="shared" si="1"/>
        <v>0</v>
      </c>
      <c r="K16" s="24">
        <f t="shared" si="4"/>
        <v>0</v>
      </c>
      <c r="L16" s="24">
        <f t="shared" si="5"/>
        <v>0</v>
      </c>
      <c r="M16" s="24">
        <f>K16/(1+Summary!$G$16)^($A16-1)</f>
        <v>0</v>
      </c>
      <c r="N16" s="24">
        <f t="shared" si="6"/>
        <v>0</v>
      </c>
    </row>
    <row r="17" spans="1:15" x14ac:dyDescent="0.4">
      <c r="A17" s="43">
        <v>15</v>
      </c>
      <c r="B17" s="44">
        <f>B16*(1-Summary!$G$19)</f>
        <v>0</v>
      </c>
      <c r="C17" s="45">
        <f>IF(A17&gt;Summary!$H$31,0,(C16*(1+Summary!$H$29)))</f>
        <v>0</v>
      </c>
      <c r="D17" s="46">
        <f t="shared" si="2"/>
        <v>0</v>
      </c>
      <c r="E17" s="47">
        <f>E16*(1+Summary!$G$15)</f>
        <v>9.381091802392573E-2</v>
      </c>
      <c r="F17" s="47">
        <f t="shared" si="3"/>
        <v>0</v>
      </c>
      <c r="G17" s="48"/>
      <c r="H17" s="46">
        <f t="shared" si="7"/>
        <v>0</v>
      </c>
      <c r="I17" s="46">
        <f>I16*(1-Summary!$G$19)*(1+Summary!$G$15)</f>
        <v>0</v>
      </c>
      <c r="J17" s="46">
        <f t="shared" si="1"/>
        <v>0</v>
      </c>
      <c r="K17" s="81">
        <f t="shared" si="4"/>
        <v>0</v>
      </c>
      <c r="L17" s="46">
        <f t="shared" si="5"/>
        <v>0</v>
      </c>
      <c r="M17" s="46">
        <f>K17/(1+Summary!$G$16)^($A17-1)</f>
        <v>0</v>
      </c>
      <c r="N17" s="46">
        <f t="shared" si="6"/>
        <v>0</v>
      </c>
    </row>
    <row r="18" spans="1:15" x14ac:dyDescent="0.4">
      <c r="A18" s="23">
        <v>16</v>
      </c>
      <c r="B18" s="42">
        <f>B17*(1-Summary!$G$19)</f>
        <v>0</v>
      </c>
      <c r="C18" s="25">
        <f>IF(A18&gt;Summary!$H$31,0,(C17*(1+Summary!$H$29)))</f>
        <v>0</v>
      </c>
      <c r="D18" s="24">
        <f t="shared" si="2"/>
        <v>0</v>
      </c>
      <c r="E18" s="41">
        <f>E17*(1+Summary!$G$15)</f>
        <v>9.6221858617140624E-2</v>
      </c>
      <c r="F18" s="41">
        <f t="shared" si="3"/>
        <v>0</v>
      </c>
      <c r="G18" s="22"/>
      <c r="H18" s="24">
        <f t="shared" si="7"/>
        <v>0</v>
      </c>
      <c r="I18" s="24">
        <f>I17*(1-Summary!$G$19)*(1+Summary!$G$15)</f>
        <v>0</v>
      </c>
      <c r="J18" s="24">
        <f t="shared" si="1"/>
        <v>0</v>
      </c>
      <c r="K18" s="24">
        <f t="shared" si="4"/>
        <v>0</v>
      </c>
      <c r="L18" s="24">
        <f t="shared" si="5"/>
        <v>0</v>
      </c>
      <c r="M18" s="24">
        <f>K18/(1+Summary!$G$16)^($A18-1)</f>
        <v>0</v>
      </c>
      <c r="N18" s="24">
        <f t="shared" si="6"/>
        <v>0</v>
      </c>
    </row>
    <row r="19" spans="1:15" x14ac:dyDescent="0.4">
      <c r="A19" s="23">
        <v>17</v>
      </c>
      <c r="B19" s="42">
        <f>B18*(1-Summary!$G$19)</f>
        <v>0</v>
      </c>
      <c r="C19" s="25">
        <f>IF(A19&gt;Summary!$H$31,0,(C18*(1+Summary!$H$29)))</f>
        <v>0</v>
      </c>
      <c r="D19" s="24">
        <f t="shared" si="2"/>
        <v>0</v>
      </c>
      <c r="E19" s="41">
        <f>E18*(1+Summary!$G$15)</f>
        <v>9.8694760383601143E-2</v>
      </c>
      <c r="F19" s="41">
        <f t="shared" si="3"/>
        <v>0</v>
      </c>
      <c r="G19" s="22"/>
      <c r="H19" s="24">
        <f t="shared" si="7"/>
        <v>0</v>
      </c>
      <c r="I19" s="24">
        <f>I18*(1-Summary!$G$19)*(1+Summary!$G$15)</f>
        <v>0</v>
      </c>
      <c r="J19" s="24">
        <f t="shared" si="1"/>
        <v>0</v>
      </c>
      <c r="K19" s="24">
        <f t="shared" si="4"/>
        <v>0</v>
      </c>
      <c r="L19" s="24">
        <f t="shared" si="5"/>
        <v>0</v>
      </c>
      <c r="M19" s="24">
        <f>K19/(1+Summary!$G$16)^($A19-1)</f>
        <v>0</v>
      </c>
      <c r="N19" s="24">
        <f t="shared" si="6"/>
        <v>0</v>
      </c>
    </row>
    <row r="20" spans="1:15" x14ac:dyDescent="0.4">
      <c r="A20" s="23">
        <v>18</v>
      </c>
      <c r="B20" s="42">
        <f>B19*(1-Summary!$G$19)</f>
        <v>0</v>
      </c>
      <c r="C20" s="25">
        <f>IF(A20&gt;Summary!$H$31,0,(C19*(1+Summary!$H$29)))</f>
        <v>0</v>
      </c>
      <c r="D20" s="24">
        <f t="shared" si="2"/>
        <v>0</v>
      </c>
      <c r="E20" s="41">
        <f>E19*(1+Summary!$G$15)</f>
        <v>0.10123121572545969</v>
      </c>
      <c r="F20" s="41">
        <f t="shared" si="3"/>
        <v>0</v>
      </c>
      <c r="G20" s="22"/>
      <c r="H20" s="24">
        <f t="shared" si="7"/>
        <v>0</v>
      </c>
      <c r="I20" s="24">
        <f>I19*(1-Summary!$G$19)*(1+Summary!$G$15)</f>
        <v>0</v>
      </c>
      <c r="J20" s="24">
        <f t="shared" si="1"/>
        <v>0</v>
      </c>
      <c r="K20" s="24">
        <f t="shared" si="4"/>
        <v>0</v>
      </c>
      <c r="L20" s="24">
        <f t="shared" si="5"/>
        <v>0</v>
      </c>
      <c r="M20" s="24">
        <f>K20/(1+Summary!$G$16)^($A20-1)</f>
        <v>0</v>
      </c>
      <c r="N20" s="24">
        <f t="shared" si="6"/>
        <v>0</v>
      </c>
    </row>
    <row r="21" spans="1:15" x14ac:dyDescent="0.4">
      <c r="A21" s="23">
        <v>19</v>
      </c>
      <c r="B21" s="42">
        <f>B20*(1-Summary!$G$19)</f>
        <v>0</v>
      </c>
      <c r="C21" s="25">
        <f>IF(A21&gt;Summary!$H$31,0,(C20*(1+Summary!$H$29)))</f>
        <v>0</v>
      </c>
      <c r="D21" s="24">
        <f t="shared" si="2"/>
        <v>0</v>
      </c>
      <c r="E21" s="41">
        <f>E20*(1+Summary!$G$15)</f>
        <v>0.10383285796960401</v>
      </c>
      <c r="F21" s="41">
        <f t="shared" si="3"/>
        <v>0</v>
      </c>
      <c r="G21" s="22"/>
      <c r="H21" s="24">
        <f t="shared" si="7"/>
        <v>0</v>
      </c>
      <c r="I21" s="24">
        <f>I20*(1-Summary!$G$19)*(1+Summary!$G$15)</f>
        <v>0</v>
      </c>
      <c r="J21" s="24">
        <f t="shared" si="1"/>
        <v>0</v>
      </c>
      <c r="K21" s="24">
        <f t="shared" si="4"/>
        <v>0</v>
      </c>
      <c r="L21" s="24">
        <f t="shared" si="5"/>
        <v>0</v>
      </c>
      <c r="M21" s="24">
        <f>K21/(1+Summary!$G$16)^($A21-1)</f>
        <v>0</v>
      </c>
      <c r="N21" s="24">
        <f t="shared" si="6"/>
        <v>0</v>
      </c>
    </row>
    <row r="22" spans="1:15" x14ac:dyDescent="0.4">
      <c r="A22" s="43">
        <v>20</v>
      </c>
      <c r="B22" s="44">
        <f>B21*(1-Summary!$G$19)</f>
        <v>0</v>
      </c>
      <c r="C22" s="45">
        <f>IF(A22&gt;Summary!$H$31,0,(C21*(1+Summary!$H$29)))</f>
        <v>0</v>
      </c>
      <c r="D22" s="46">
        <f t="shared" si="2"/>
        <v>0</v>
      </c>
      <c r="E22" s="47">
        <f>E21*(1+Summary!$G$15)</f>
        <v>0.10650136241942283</v>
      </c>
      <c r="F22" s="47">
        <f t="shared" si="3"/>
        <v>0</v>
      </c>
      <c r="G22" s="48"/>
      <c r="H22" s="46">
        <f t="shared" si="7"/>
        <v>0</v>
      </c>
      <c r="I22" s="46">
        <f>I21*(1-Summary!$G$19)*(1+Summary!$G$15)</f>
        <v>0</v>
      </c>
      <c r="J22" s="46">
        <f t="shared" si="1"/>
        <v>0</v>
      </c>
      <c r="K22" s="81">
        <f t="shared" si="4"/>
        <v>0</v>
      </c>
      <c r="L22" s="46">
        <f t="shared" si="5"/>
        <v>0</v>
      </c>
      <c r="M22" s="46">
        <f>K22/(1+Summary!$G$16)^($A22-1)</f>
        <v>0</v>
      </c>
      <c r="N22" s="46">
        <f t="shared" si="6"/>
        <v>0</v>
      </c>
    </row>
    <row r="23" spans="1:15" x14ac:dyDescent="0.4">
      <c r="A23" s="23">
        <v>21</v>
      </c>
      <c r="B23" s="42">
        <f>B22*(1-Summary!$G$19)</f>
        <v>0</v>
      </c>
      <c r="C23" s="25">
        <f>IF(A23&gt;Summary!$H$31,0,(C22*(1+Summary!$H$29)))</f>
        <v>0</v>
      </c>
      <c r="D23" s="24">
        <f t="shared" si="2"/>
        <v>0</v>
      </c>
      <c r="E23" s="41">
        <f>E22*(1+Summary!$G$15)</f>
        <v>0.109238447433602</v>
      </c>
      <c r="F23" s="41">
        <f t="shared" si="3"/>
        <v>0</v>
      </c>
      <c r="G23" s="22"/>
      <c r="H23" s="24">
        <f t="shared" si="7"/>
        <v>0</v>
      </c>
      <c r="I23" s="24">
        <f>I22*(1-Summary!$G$19)*(1+Summary!$G$15)</f>
        <v>0</v>
      </c>
      <c r="J23" s="24">
        <f t="shared" si="1"/>
        <v>0</v>
      </c>
      <c r="K23" s="24">
        <f t="shared" si="4"/>
        <v>0</v>
      </c>
      <c r="L23" s="24">
        <f t="shared" si="5"/>
        <v>0</v>
      </c>
      <c r="M23" s="24">
        <f>K23/(1+Summary!$G$16)^($A23-1)</f>
        <v>0</v>
      </c>
      <c r="N23" s="24">
        <f t="shared" si="6"/>
        <v>0</v>
      </c>
    </row>
    <row r="24" spans="1:15" x14ac:dyDescent="0.4">
      <c r="A24" s="23">
        <v>22</v>
      </c>
      <c r="B24" s="42">
        <f>B23*(1-Summary!$G$19)</f>
        <v>0</v>
      </c>
      <c r="C24" s="25">
        <f>IF(A24&gt;Summary!$H$31,0,(C23*(1+Summary!$H$29)))</f>
        <v>0</v>
      </c>
      <c r="D24" s="24">
        <f t="shared" si="2"/>
        <v>0</v>
      </c>
      <c r="E24" s="41">
        <f>E23*(1+Summary!$G$15)</f>
        <v>0.11204587553264558</v>
      </c>
      <c r="F24" s="41">
        <f t="shared" si="3"/>
        <v>0</v>
      </c>
      <c r="G24" s="22"/>
      <c r="H24" s="24">
        <f t="shared" si="7"/>
        <v>0</v>
      </c>
      <c r="I24" s="24">
        <f>I23*(1-Summary!$G$19)*(1+Summary!$G$15)</f>
        <v>0</v>
      </c>
      <c r="J24" s="24">
        <f t="shared" si="1"/>
        <v>0</v>
      </c>
      <c r="K24" s="24">
        <f t="shared" si="4"/>
        <v>0</v>
      </c>
      <c r="L24" s="24">
        <f t="shared" si="5"/>
        <v>0</v>
      </c>
      <c r="M24" s="24">
        <f>K24/(1+Summary!$G$16)^($A24-1)</f>
        <v>0</v>
      </c>
      <c r="N24" s="24">
        <f t="shared" si="6"/>
        <v>0</v>
      </c>
    </row>
    <row r="25" spans="1:15" x14ac:dyDescent="0.4">
      <c r="A25" s="23">
        <v>23</v>
      </c>
      <c r="B25" s="42">
        <f>B24*(1-Summary!$G$19)</f>
        <v>0</v>
      </c>
      <c r="C25" s="25">
        <f>IF(A25&gt;Summary!$H$31,0,(C24*(1+Summary!$H$29)))</f>
        <v>0</v>
      </c>
      <c r="D25" s="24">
        <f t="shared" si="2"/>
        <v>0</v>
      </c>
      <c r="E25" s="41">
        <f>E24*(1+Summary!$G$15)</f>
        <v>0.11492545453383458</v>
      </c>
      <c r="F25" s="41">
        <f t="shared" si="3"/>
        <v>0</v>
      </c>
      <c r="G25" s="22"/>
      <c r="H25" s="24">
        <f t="shared" si="7"/>
        <v>0</v>
      </c>
      <c r="I25" s="24">
        <f>I24*(1-Summary!$G$19)*(1+Summary!$G$15)</f>
        <v>0</v>
      </c>
      <c r="J25" s="24">
        <f t="shared" si="1"/>
        <v>0</v>
      </c>
      <c r="K25" s="24">
        <f t="shared" si="4"/>
        <v>0</v>
      </c>
      <c r="L25" s="24">
        <f t="shared" si="5"/>
        <v>0</v>
      </c>
      <c r="M25" s="24">
        <f>K25/(1+Summary!$G$16)^($A25-1)</f>
        <v>0</v>
      </c>
      <c r="N25" s="24">
        <f t="shared" si="6"/>
        <v>0</v>
      </c>
    </row>
    <row r="26" spans="1:15" x14ac:dyDescent="0.4">
      <c r="A26" s="23">
        <v>24</v>
      </c>
      <c r="B26" s="42">
        <f>B25*(1-Summary!$G$19)</f>
        <v>0</v>
      </c>
      <c r="C26" s="25">
        <f>IF(A26&gt;Summary!$H$31,0,(C25*(1+Summary!$H$29)))</f>
        <v>0</v>
      </c>
      <c r="D26" s="24">
        <f t="shared" si="2"/>
        <v>0</v>
      </c>
      <c r="E26" s="41">
        <f>E25*(1+Summary!$G$15)</f>
        <v>0.11787903871535414</v>
      </c>
      <c r="F26" s="41">
        <f t="shared" si="3"/>
        <v>0</v>
      </c>
      <c r="G26" s="22"/>
      <c r="H26" s="24">
        <f t="shared" si="7"/>
        <v>0</v>
      </c>
      <c r="I26" s="24">
        <f>I25*(1-Summary!$G$19)*(1+Summary!$G$15)</f>
        <v>0</v>
      </c>
      <c r="J26" s="24">
        <f t="shared" si="1"/>
        <v>0</v>
      </c>
      <c r="K26" s="24">
        <f t="shared" si="4"/>
        <v>0</v>
      </c>
      <c r="L26" s="24">
        <f t="shared" si="5"/>
        <v>0</v>
      </c>
      <c r="M26" s="24">
        <f>K26/(1+Summary!$G$16)^($A26-1)</f>
        <v>0</v>
      </c>
      <c r="N26" s="24">
        <f t="shared" si="6"/>
        <v>0</v>
      </c>
    </row>
    <row r="27" spans="1:15" x14ac:dyDescent="0.4">
      <c r="A27" s="43">
        <v>25</v>
      </c>
      <c r="B27" s="44">
        <f>B26*(1-Summary!$G$19)</f>
        <v>0</v>
      </c>
      <c r="C27" s="45">
        <f>IF(A27&gt;Summary!$H$31,0,(C26*(1+Summary!$H$29)))</f>
        <v>0</v>
      </c>
      <c r="D27" s="46">
        <f t="shared" si="2"/>
        <v>0</v>
      </c>
      <c r="E27" s="47">
        <f>E26*(1+Summary!$G$15)</f>
        <v>0.12090853001033874</v>
      </c>
      <c r="F27" s="47">
        <f t="shared" si="3"/>
        <v>0</v>
      </c>
      <c r="G27" s="48"/>
      <c r="H27" s="46">
        <f t="shared" si="7"/>
        <v>0</v>
      </c>
      <c r="I27" s="46">
        <f>I26*(1-Summary!$G$19)*(1+Summary!$G$15)</f>
        <v>0</v>
      </c>
      <c r="J27" s="46">
        <f t="shared" si="1"/>
        <v>0</v>
      </c>
      <c r="K27" s="81">
        <f t="shared" si="4"/>
        <v>0</v>
      </c>
      <c r="L27" s="46">
        <f t="shared" si="5"/>
        <v>0</v>
      </c>
      <c r="M27" s="46">
        <f>K27/(1+Summary!$G$16)^($A27-1)</f>
        <v>0</v>
      </c>
      <c r="N27" s="46">
        <f t="shared" si="6"/>
        <v>0</v>
      </c>
    </row>
    <row r="28" spans="1:15" x14ac:dyDescent="0.4">
      <c r="A28" s="23">
        <v>26</v>
      </c>
      <c r="B28" s="42">
        <f>B27*(1-Summary!$G$19)</f>
        <v>0</v>
      </c>
      <c r="C28" s="25">
        <f>IF(A28&gt;Summary!$H$31,0,(C27*(1+Summary!$H$29)))</f>
        <v>0</v>
      </c>
      <c r="D28" s="24">
        <f t="shared" si="2"/>
        <v>0</v>
      </c>
      <c r="E28" s="41">
        <f>E27*(1+Summary!$G$15)</f>
        <v>0.12401587923160445</v>
      </c>
      <c r="F28" s="41">
        <f t="shared" si="3"/>
        <v>0</v>
      </c>
      <c r="G28" s="22"/>
      <c r="H28" s="24">
        <f t="shared" si="7"/>
        <v>0</v>
      </c>
      <c r="I28" s="24">
        <f>I27*(1-Summary!$G$19)*(1+Summary!$G$15)</f>
        <v>0</v>
      </c>
      <c r="J28" s="24">
        <f t="shared" si="1"/>
        <v>0</v>
      </c>
      <c r="K28" s="24">
        <f t="shared" si="4"/>
        <v>0</v>
      </c>
      <c r="L28" s="24">
        <f t="shared" si="5"/>
        <v>0</v>
      </c>
      <c r="M28" s="24">
        <f>K28/(1+Summary!$G$16)^($A28-1)</f>
        <v>0</v>
      </c>
      <c r="N28" s="24">
        <f t="shared" si="6"/>
        <v>0</v>
      </c>
    </row>
    <row r="29" spans="1:15" x14ac:dyDescent="0.4">
      <c r="A29" s="23">
        <v>27</v>
      </c>
      <c r="B29" s="42">
        <f>B28*(1-Summary!$G$19)</f>
        <v>0</v>
      </c>
      <c r="C29" s="25">
        <f>IF(A29&gt;Summary!$H$31,0,(C28*(1+Summary!$H$29)))</f>
        <v>0</v>
      </c>
      <c r="D29" s="24">
        <f t="shared" si="2"/>
        <v>0</v>
      </c>
      <c r="E29" s="41">
        <f>E28*(1+Summary!$G$15)</f>
        <v>0.12720308732785671</v>
      </c>
      <c r="F29" s="41">
        <f t="shared" si="3"/>
        <v>0</v>
      </c>
      <c r="G29" s="22"/>
      <c r="H29" s="24">
        <f t="shared" si="7"/>
        <v>0</v>
      </c>
      <c r="I29" s="24">
        <f>I28*(1-Summary!$G$19)*(1+Summary!$G$15)</f>
        <v>0</v>
      </c>
      <c r="J29" s="24">
        <f t="shared" si="1"/>
        <v>0</v>
      </c>
      <c r="K29" s="24">
        <f t="shared" si="4"/>
        <v>0</v>
      </c>
      <c r="L29" s="24">
        <f t="shared" si="5"/>
        <v>0</v>
      </c>
      <c r="M29" s="24">
        <f>K29/(1+Summary!$G$16)^($A29-1)</f>
        <v>0</v>
      </c>
      <c r="N29" s="24">
        <f t="shared" si="6"/>
        <v>0</v>
      </c>
    </row>
    <row r="30" spans="1:15" x14ac:dyDescent="0.4">
      <c r="A30" s="23">
        <v>28</v>
      </c>
      <c r="B30" s="42">
        <f>B29*(1-Summary!$G$19)</f>
        <v>0</v>
      </c>
      <c r="C30" s="25">
        <f>IF(A30&gt;Summary!$H$31,0,(C29*(1+Summary!$H$29)))</f>
        <v>0</v>
      </c>
      <c r="D30" s="24">
        <f t="shared" si="2"/>
        <v>0</v>
      </c>
      <c r="E30" s="41">
        <f>E29*(1+Summary!$G$15)</f>
        <v>0.13047220667218262</v>
      </c>
      <c r="F30" s="41">
        <f t="shared" si="3"/>
        <v>0</v>
      </c>
      <c r="G30" s="22"/>
      <c r="H30" s="24">
        <f t="shared" si="7"/>
        <v>0</v>
      </c>
      <c r="I30" s="24">
        <f>I29*(1-Summary!$G$19)*(1+Summary!$G$15)</f>
        <v>0</v>
      </c>
      <c r="J30" s="24">
        <f t="shared" si="1"/>
        <v>0</v>
      </c>
      <c r="K30" s="24">
        <f t="shared" si="4"/>
        <v>0</v>
      </c>
      <c r="L30" s="24">
        <f t="shared" si="5"/>
        <v>0</v>
      </c>
      <c r="M30" s="24">
        <f>K30/(1+Summary!$G$16)^($A30-1)</f>
        <v>0</v>
      </c>
      <c r="N30" s="24">
        <f t="shared" si="6"/>
        <v>0</v>
      </c>
    </row>
    <row r="31" spans="1:15" x14ac:dyDescent="0.4">
      <c r="A31" s="23">
        <v>29</v>
      </c>
      <c r="B31" s="42">
        <f>B30*(1-Summary!$G$19)</f>
        <v>0</v>
      </c>
      <c r="C31" s="25">
        <f>IF(A31&gt;Summary!$H$31,0,(C30*(1+Summary!$H$29)))</f>
        <v>0</v>
      </c>
      <c r="D31" s="24">
        <f t="shared" si="2"/>
        <v>0</v>
      </c>
      <c r="E31" s="41">
        <f>E30*(1+Summary!$G$15)</f>
        <v>0.13382534238365773</v>
      </c>
      <c r="F31" s="41">
        <f t="shared" si="3"/>
        <v>0</v>
      </c>
      <c r="G31" s="22"/>
      <c r="H31" s="24">
        <f t="shared" si="7"/>
        <v>0</v>
      </c>
      <c r="I31" s="24">
        <f>I30*(1-Summary!$G$19)*(1+Summary!$G$15)</f>
        <v>0</v>
      </c>
      <c r="J31" s="24">
        <f t="shared" si="1"/>
        <v>0</v>
      </c>
      <c r="K31" s="24">
        <f t="shared" si="4"/>
        <v>0</v>
      </c>
      <c r="L31" s="24">
        <f t="shared" si="5"/>
        <v>0</v>
      </c>
      <c r="M31" s="24">
        <f>K31/(1+Summary!$G$16)^($A31-1)</f>
        <v>0</v>
      </c>
      <c r="N31" s="24">
        <f t="shared" si="6"/>
        <v>0</v>
      </c>
    </row>
    <row r="32" spans="1:15" x14ac:dyDescent="0.4">
      <c r="A32" s="43">
        <v>30</v>
      </c>
      <c r="B32" s="44">
        <f>B31*(1-Summary!$G$19)</f>
        <v>0</v>
      </c>
      <c r="C32" s="45">
        <f>IF(A32&gt;Summary!$H$31,0,(C31*(1+Summary!$H$29)))</f>
        <v>0</v>
      </c>
      <c r="D32" s="46">
        <f t="shared" si="2"/>
        <v>0</v>
      </c>
      <c r="E32" s="47">
        <f>E31*(1+Summary!$G$15)</f>
        <v>0.13726465368291774</v>
      </c>
      <c r="F32" s="47">
        <f t="shared" si="3"/>
        <v>0</v>
      </c>
      <c r="G32" s="48"/>
      <c r="H32" s="46">
        <f t="shared" si="7"/>
        <v>0</v>
      </c>
      <c r="I32" s="46">
        <f>I31*(1-Summary!$G$19)*(1+Summary!$G$15)</f>
        <v>0</v>
      </c>
      <c r="J32" s="46">
        <f t="shared" si="1"/>
        <v>0</v>
      </c>
      <c r="K32" s="81">
        <f t="shared" si="4"/>
        <v>0</v>
      </c>
      <c r="L32" s="46">
        <f t="shared" si="5"/>
        <v>0</v>
      </c>
      <c r="M32" s="46">
        <f>K32/(1+Summary!$G$16)^($A32-1)</f>
        <v>0</v>
      </c>
      <c r="N32" s="46">
        <f t="shared" si="6"/>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D1102"/>
  <sheetViews>
    <sheetView workbookViewId="0">
      <selection activeCell="G40" sqref="G40"/>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Summary!I24</f>
        <v>SITE 6</v>
      </c>
      <c r="C1" s="19"/>
      <c r="D1" s="19"/>
      <c r="E1" s="19"/>
      <c r="F1" s="19"/>
      <c r="G1" s="19"/>
      <c r="H1" s="19"/>
      <c r="I1" s="19"/>
      <c r="J1" s="19"/>
      <c r="K1" s="19"/>
      <c r="L1" s="20"/>
      <c r="M1" s="20"/>
      <c r="N1" s="20"/>
    </row>
    <row r="2" spans="1:14" ht="58.3" x14ac:dyDescent="0.4">
      <c r="A2" s="40"/>
      <c r="B2" s="40" t="s">
        <v>45</v>
      </c>
      <c r="C2" s="53" t="s">
        <v>38</v>
      </c>
      <c r="D2" s="53" t="s">
        <v>32</v>
      </c>
      <c r="E2" s="54" t="s">
        <v>46</v>
      </c>
      <c r="F2" s="54" t="s">
        <v>39</v>
      </c>
      <c r="G2" s="55" t="s">
        <v>155</v>
      </c>
      <c r="H2" s="55" t="s">
        <v>156</v>
      </c>
      <c r="I2" s="55" t="s">
        <v>114</v>
      </c>
      <c r="J2" s="40" t="s">
        <v>47</v>
      </c>
      <c r="K2" s="40" t="s">
        <v>33</v>
      </c>
      <c r="L2" s="40" t="s">
        <v>34</v>
      </c>
      <c r="M2" s="40" t="s">
        <v>35</v>
      </c>
      <c r="N2" s="40" t="s">
        <v>36</v>
      </c>
    </row>
    <row r="3" spans="1:14" x14ac:dyDescent="0.4">
      <c r="A3" s="23">
        <v>1</v>
      </c>
      <c r="B3" s="42">
        <f>Summary!I27</f>
        <v>0</v>
      </c>
      <c r="C3" s="25">
        <f>Summary!I28</f>
        <v>0</v>
      </c>
      <c r="D3" s="24">
        <f>B3*C3*-1</f>
        <v>0</v>
      </c>
      <c r="E3" s="41">
        <f>VLOOKUP(Summary!I25,Summary!V4:AF6,11,FALSE)</f>
        <v>6.5761E-2</v>
      </c>
      <c r="F3" s="41">
        <f>B3*E3</f>
        <v>0</v>
      </c>
      <c r="G3" s="22">
        <f>IF(Summary!$I$26&lt;=40,Summary!$G$18,Summary!$G$17)</f>
        <v>0.08</v>
      </c>
      <c r="H3" s="75">
        <f t="shared" ref="H3:H12" si="0">G3*B3</f>
        <v>0</v>
      </c>
      <c r="I3" s="75">
        <f>IFERROR('Demand Charge Calculations'!B52,0)</f>
        <v>0</v>
      </c>
      <c r="J3" s="24">
        <f t="shared" ref="J3:J32" si="1">D3*-1-H3</f>
        <v>0</v>
      </c>
      <c r="K3" s="24">
        <f>F3+D3+H3+I3</f>
        <v>0</v>
      </c>
      <c r="L3" s="24">
        <f>K3</f>
        <v>0</v>
      </c>
      <c r="M3" s="24">
        <f>K3/(1+Summary!$G$16)^($A3-1)</f>
        <v>0</v>
      </c>
      <c r="N3" s="24">
        <f>M3</f>
        <v>0</v>
      </c>
    </row>
    <row r="4" spans="1:14" x14ac:dyDescent="0.4">
      <c r="A4" s="23">
        <v>2</v>
      </c>
      <c r="B4" s="42">
        <f>B3*(1-Summary!$G$19)</f>
        <v>0</v>
      </c>
      <c r="C4" s="25">
        <f>IF(A4&gt;Summary!$I$31,0,(C3*(1+Summary!$I$29)))</f>
        <v>0</v>
      </c>
      <c r="D4" s="24">
        <f t="shared" ref="D4:D32" si="2">B4*C4*-1</f>
        <v>0</v>
      </c>
      <c r="E4" s="41">
        <f>E3*(1+Summary!$G$15)</f>
        <v>6.7451057699999997E-2</v>
      </c>
      <c r="F4" s="41">
        <f t="shared" ref="F4:F32" si="3">B4*E4</f>
        <v>0</v>
      </c>
      <c r="G4" s="22">
        <f>IF(Summary!$I$26&lt;=40,Summary!$G$18,Summary!$G$17)</f>
        <v>0.08</v>
      </c>
      <c r="H4" s="75">
        <f t="shared" si="0"/>
        <v>0</v>
      </c>
      <c r="I4" s="75">
        <f>I3*(1-Summary!$G$19)*(1+Summary!$G$15)</f>
        <v>0</v>
      </c>
      <c r="J4" s="24">
        <f t="shared" si="1"/>
        <v>0</v>
      </c>
      <c r="K4" s="24">
        <f t="shared" ref="K4:K32" si="4">F4+D4+H4+I4</f>
        <v>0</v>
      </c>
      <c r="L4" s="24">
        <f t="shared" ref="L4:L32" si="5">L3+K4</f>
        <v>0</v>
      </c>
      <c r="M4" s="24">
        <f>K4/(1+Summary!$G$16)^($A4-1)</f>
        <v>0</v>
      </c>
      <c r="N4" s="24">
        <f>M4+N3</f>
        <v>0</v>
      </c>
    </row>
    <row r="5" spans="1:14" x14ac:dyDescent="0.4">
      <c r="A5" s="23">
        <v>3</v>
      </c>
      <c r="B5" s="42">
        <f>B4*(1-Summary!$G$19)</f>
        <v>0</v>
      </c>
      <c r="C5" s="25">
        <f>IF(A5&gt;Summary!$I$31,0,(C4*(1+Summary!$I$29)))</f>
        <v>0</v>
      </c>
      <c r="D5" s="24">
        <f t="shared" si="2"/>
        <v>0</v>
      </c>
      <c r="E5" s="41">
        <f>E4*(1+Summary!$G$15)</f>
        <v>6.9184549882889995E-2</v>
      </c>
      <c r="F5" s="41">
        <f t="shared" si="3"/>
        <v>0</v>
      </c>
      <c r="G5" s="22">
        <f>IF(Summary!$I$26&lt;=40,Summary!$G$18,Summary!$G$17)</f>
        <v>0.08</v>
      </c>
      <c r="H5" s="75">
        <f t="shared" si="0"/>
        <v>0</v>
      </c>
      <c r="I5" s="75">
        <f>I4*(1-Summary!$G$19)*(1+Summary!$G$15)</f>
        <v>0</v>
      </c>
      <c r="J5" s="24">
        <f t="shared" si="1"/>
        <v>0</v>
      </c>
      <c r="K5" s="24">
        <f t="shared" si="4"/>
        <v>0</v>
      </c>
      <c r="L5" s="24">
        <f t="shared" si="5"/>
        <v>0</v>
      </c>
      <c r="M5" s="24">
        <f>K5/(1+Summary!$G$16)^($A5-1)</f>
        <v>0</v>
      </c>
      <c r="N5" s="24">
        <f t="shared" ref="N5:N32" si="6">M5+N4</f>
        <v>0</v>
      </c>
    </row>
    <row r="6" spans="1:14" x14ac:dyDescent="0.4">
      <c r="A6" s="23">
        <v>4</v>
      </c>
      <c r="B6" s="42">
        <f>B5*(1-Summary!$G$19)</f>
        <v>0</v>
      </c>
      <c r="C6" s="25">
        <f>IF(A6&gt;Summary!$I$31,0,(C5*(1+Summary!$I$29)))</f>
        <v>0</v>
      </c>
      <c r="D6" s="24">
        <f t="shared" si="2"/>
        <v>0</v>
      </c>
      <c r="E6" s="41">
        <f>E5*(1+Summary!$G$15)</f>
        <v>7.0962592814880265E-2</v>
      </c>
      <c r="F6" s="41">
        <f t="shared" si="3"/>
        <v>0</v>
      </c>
      <c r="G6" s="22">
        <f>IF(Summary!$I$26&lt;=40,Summary!$G$18,Summary!$G$17)</f>
        <v>0.08</v>
      </c>
      <c r="H6" s="75">
        <f t="shared" si="0"/>
        <v>0</v>
      </c>
      <c r="I6" s="75">
        <f>I5*(1-Summary!$G$19)*(1+Summary!$G$15)</f>
        <v>0</v>
      </c>
      <c r="J6" s="24">
        <f t="shared" si="1"/>
        <v>0</v>
      </c>
      <c r="K6" s="24">
        <f t="shared" si="4"/>
        <v>0</v>
      </c>
      <c r="L6" s="24">
        <f t="shared" si="5"/>
        <v>0</v>
      </c>
      <c r="M6" s="24">
        <f>K6/(1+Summary!$G$16)^($A6-1)</f>
        <v>0</v>
      </c>
      <c r="N6" s="24">
        <f t="shared" si="6"/>
        <v>0</v>
      </c>
    </row>
    <row r="7" spans="1:14" x14ac:dyDescent="0.4">
      <c r="A7" s="43">
        <v>5</v>
      </c>
      <c r="B7" s="44">
        <f>B6*(1-Summary!$G$19)</f>
        <v>0</v>
      </c>
      <c r="C7" s="45">
        <f>IF(A7&gt;Summary!$I$31,0,(C6*(1+Summary!$I$29)))</f>
        <v>0</v>
      </c>
      <c r="D7" s="46">
        <f t="shared" si="2"/>
        <v>0</v>
      </c>
      <c r="E7" s="47">
        <f>E6*(1+Summary!$G$15)</f>
        <v>7.2786331450222688E-2</v>
      </c>
      <c r="F7" s="47">
        <f t="shared" si="3"/>
        <v>0</v>
      </c>
      <c r="G7" s="83">
        <f>IF(Summary!$I$26&lt;=40,Summary!$G$18,Summary!$G$17)</f>
        <v>0.08</v>
      </c>
      <c r="H7" s="81">
        <f t="shared" si="0"/>
        <v>0</v>
      </c>
      <c r="I7" s="81">
        <f>I6*(1-Summary!$G$19)*(1+Summary!$G$15)</f>
        <v>0</v>
      </c>
      <c r="J7" s="46">
        <f t="shared" si="1"/>
        <v>0</v>
      </c>
      <c r="K7" s="81">
        <f t="shared" si="4"/>
        <v>0</v>
      </c>
      <c r="L7" s="46">
        <f t="shared" si="5"/>
        <v>0</v>
      </c>
      <c r="M7" s="46">
        <f>K7/(1+Summary!$G$16)^($A7-1)</f>
        <v>0</v>
      </c>
      <c r="N7" s="46">
        <f t="shared" si="6"/>
        <v>0</v>
      </c>
    </row>
    <row r="8" spans="1:14" x14ac:dyDescent="0.4">
      <c r="A8" s="23">
        <v>6</v>
      </c>
      <c r="B8" s="42">
        <f>B7*(1-Summary!$G$19)</f>
        <v>0</v>
      </c>
      <c r="C8" s="25">
        <f>IF(A8&gt;Summary!$I$31,0,(C7*(1+Summary!$I$29)))</f>
        <v>0</v>
      </c>
      <c r="D8" s="24">
        <f t="shared" si="2"/>
        <v>0</v>
      </c>
      <c r="E8" s="41">
        <f>E7*(1+Summary!$G$15)</f>
        <v>7.4656940168493419E-2</v>
      </c>
      <c r="F8" s="41">
        <f t="shared" si="3"/>
        <v>0</v>
      </c>
      <c r="G8" s="22">
        <f>IF(Summary!$I$26&lt;=40,Summary!$G$18,Summary!$G$17)</f>
        <v>0.08</v>
      </c>
      <c r="H8" s="75">
        <f t="shared" si="0"/>
        <v>0</v>
      </c>
      <c r="I8" s="75">
        <f>I7*(1-Summary!$G$19)*(1+Summary!$G$15)</f>
        <v>0</v>
      </c>
      <c r="J8" s="24">
        <f t="shared" si="1"/>
        <v>0</v>
      </c>
      <c r="K8" s="24">
        <f t="shared" si="4"/>
        <v>0</v>
      </c>
      <c r="L8" s="24">
        <f t="shared" si="5"/>
        <v>0</v>
      </c>
      <c r="M8" s="24">
        <f>K8/(1+Summary!$G$16)^($A8-1)</f>
        <v>0</v>
      </c>
      <c r="N8" s="24">
        <f t="shared" si="6"/>
        <v>0</v>
      </c>
    </row>
    <row r="9" spans="1:14" x14ac:dyDescent="0.4">
      <c r="A9" s="23">
        <v>7</v>
      </c>
      <c r="B9" s="42">
        <f>B8*(1-Summary!$G$19)</f>
        <v>0</v>
      </c>
      <c r="C9" s="25">
        <f>IF(A9&gt;Summary!$I$31,0,(C8*(1+Summary!$I$29)))</f>
        <v>0</v>
      </c>
      <c r="D9" s="24">
        <f t="shared" si="2"/>
        <v>0</v>
      </c>
      <c r="E9" s="41">
        <f>E8*(1+Summary!$G$15)</f>
        <v>7.65756235308237E-2</v>
      </c>
      <c r="F9" s="41">
        <f t="shared" si="3"/>
        <v>0</v>
      </c>
      <c r="G9" s="22">
        <f>IF(Summary!$I$26&lt;=40,Summary!$G$18,0)</f>
        <v>0.08</v>
      </c>
      <c r="H9" s="75">
        <f t="shared" si="0"/>
        <v>0</v>
      </c>
      <c r="I9" s="75">
        <f>I8*(1-Summary!$G$19)*(1+Summary!$G$15)</f>
        <v>0</v>
      </c>
      <c r="J9" s="24">
        <f t="shared" si="1"/>
        <v>0</v>
      </c>
      <c r="K9" s="24">
        <f t="shared" si="4"/>
        <v>0</v>
      </c>
      <c r="L9" s="24">
        <f t="shared" si="5"/>
        <v>0</v>
      </c>
      <c r="M9" s="24">
        <f>K9/(1+Summary!$G$16)^($A9-1)</f>
        <v>0</v>
      </c>
      <c r="N9" s="24">
        <f t="shared" si="6"/>
        <v>0</v>
      </c>
    </row>
    <row r="10" spans="1:14" x14ac:dyDescent="0.4">
      <c r="A10" s="23">
        <v>8</v>
      </c>
      <c r="B10" s="42">
        <f>B9*(1-Summary!$G$19)</f>
        <v>0</v>
      </c>
      <c r="C10" s="25">
        <f>IF(A10&gt;Summary!$I$31,0,(C9*(1+Summary!$I$29)))</f>
        <v>0</v>
      </c>
      <c r="D10" s="24">
        <f t="shared" si="2"/>
        <v>0</v>
      </c>
      <c r="E10" s="41">
        <f>E9*(1+Summary!$G$15)</f>
        <v>7.8543617055565867E-2</v>
      </c>
      <c r="F10" s="41">
        <f t="shared" si="3"/>
        <v>0</v>
      </c>
      <c r="G10" s="22">
        <f>IF(Summary!$I$26&lt;=40,Summary!$G$18,0)</f>
        <v>0.08</v>
      </c>
      <c r="H10" s="75">
        <f t="shared" si="0"/>
        <v>0</v>
      </c>
      <c r="I10" s="75">
        <f>I9*(1-Summary!$G$19)*(1+Summary!$G$15)</f>
        <v>0</v>
      </c>
      <c r="J10" s="24">
        <f t="shared" si="1"/>
        <v>0</v>
      </c>
      <c r="K10" s="24">
        <f t="shared" si="4"/>
        <v>0</v>
      </c>
      <c r="L10" s="24">
        <f t="shared" si="5"/>
        <v>0</v>
      </c>
      <c r="M10" s="24">
        <f>K10/(1+Summary!$G$16)^($A10-1)</f>
        <v>0</v>
      </c>
      <c r="N10" s="24">
        <f t="shared" si="6"/>
        <v>0</v>
      </c>
    </row>
    <row r="11" spans="1:14" x14ac:dyDescent="0.4">
      <c r="A11" s="23">
        <v>9</v>
      </c>
      <c r="B11" s="42">
        <f>B10*(1-Summary!$G$19)</f>
        <v>0</v>
      </c>
      <c r="C11" s="25">
        <f>IF(A11&gt;Summary!$I$31,0,(C10*(1+Summary!$I$29)))</f>
        <v>0</v>
      </c>
      <c r="D11" s="24">
        <f t="shared" si="2"/>
        <v>0</v>
      </c>
      <c r="E11" s="41">
        <f>E10*(1+Summary!$G$15)</f>
        <v>8.0562188013893921E-2</v>
      </c>
      <c r="F11" s="41">
        <f t="shared" si="3"/>
        <v>0</v>
      </c>
      <c r="G11" s="22">
        <f>IF(Summary!$I$26&lt;=40,Summary!$G$18,0)</f>
        <v>0.08</v>
      </c>
      <c r="H11" s="75">
        <f t="shared" si="0"/>
        <v>0</v>
      </c>
      <c r="I11" s="75">
        <f>I10*(1-Summary!$G$19)*(1+Summary!$G$15)</f>
        <v>0</v>
      </c>
      <c r="J11" s="24">
        <f t="shared" si="1"/>
        <v>0</v>
      </c>
      <c r="K11" s="24">
        <f t="shared" si="4"/>
        <v>0</v>
      </c>
      <c r="L11" s="24">
        <f t="shared" si="5"/>
        <v>0</v>
      </c>
      <c r="M11" s="24">
        <f>K11/(1+Summary!$G$16)^($A11-1)</f>
        <v>0</v>
      </c>
      <c r="N11" s="24">
        <f t="shared" si="6"/>
        <v>0</v>
      </c>
    </row>
    <row r="12" spans="1:14" x14ac:dyDescent="0.4">
      <c r="A12" s="43">
        <v>10</v>
      </c>
      <c r="B12" s="44">
        <f>B11*(1-Summary!$G$19)</f>
        <v>0</v>
      </c>
      <c r="C12" s="45">
        <f>IF(A12&gt;Summary!$I$31,0,(C11*(1+Summary!$I$29)))</f>
        <v>0</v>
      </c>
      <c r="D12" s="46">
        <f t="shared" si="2"/>
        <v>0</v>
      </c>
      <c r="E12" s="47">
        <f>E11*(1+Summary!$G$15)</f>
        <v>8.2632636245851002E-2</v>
      </c>
      <c r="F12" s="47">
        <f t="shared" si="3"/>
        <v>0</v>
      </c>
      <c r="G12" s="83">
        <f>IF(Summary!$I$26&lt;=40,Summary!$G$18,0)</f>
        <v>0.08</v>
      </c>
      <c r="H12" s="81">
        <f t="shared" si="0"/>
        <v>0</v>
      </c>
      <c r="I12" s="81">
        <f>I11*(1-Summary!$G$19)*(1+Summary!$G$15)</f>
        <v>0</v>
      </c>
      <c r="J12" s="46">
        <f t="shared" si="1"/>
        <v>0</v>
      </c>
      <c r="K12" s="81">
        <f t="shared" si="4"/>
        <v>0</v>
      </c>
      <c r="L12" s="46">
        <f t="shared" si="5"/>
        <v>0</v>
      </c>
      <c r="M12" s="46">
        <f>K12/(1+Summary!$G$16)^($A12-1)</f>
        <v>0</v>
      </c>
      <c r="N12" s="46">
        <f t="shared" si="6"/>
        <v>0</v>
      </c>
    </row>
    <row r="13" spans="1:14" x14ac:dyDescent="0.4">
      <c r="A13" s="23">
        <v>11</v>
      </c>
      <c r="B13" s="42">
        <f>B12*(1-Summary!$G$19)</f>
        <v>0</v>
      </c>
      <c r="C13" s="25">
        <f>IF(A13&gt;Summary!$I$31,0,(C12*(1+Summary!$I$29)))</f>
        <v>0</v>
      </c>
      <c r="D13" s="24">
        <f t="shared" si="2"/>
        <v>0</v>
      </c>
      <c r="E13" s="41">
        <f>E12*(1+Summary!$G$15)</f>
        <v>8.4756294997369377E-2</v>
      </c>
      <c r="F13" s="41">
        <f t="shared" si="3"/>
        <v>0</v>
      </c>
      <c r="G13" s="22"/>
      <c r="H13" s="75">
        <f t="shared" ref="H13:H32" si="7">G13*B13</f>
        <v>0</v>
      </c>
      <c r="I13" s="24">
        <f>I12*(1-Summary!$G$19)*(1+Summary!$G$15)</f>
        <v>0</v>
      </c>
      <c r="J13" s="24">
        <f t="shared" si="1"/>
        <v>0</v>
      </c>
      <c r="K13" s="24">
        <f t="shared" si="4"/>
        <v>0</v>
      </c>
      <c r="L13" s="24">
        <f t="shared" si="5"/>
        <v>0</v>
      </c>
      <c r="M13" s="24">
        <f>K13/(1+Summary!$G$16)^($A13-1)</f>
        <v>0</v>
      </c>
      <c r="N13" s="24">
        <f t="shared" si="6"/>
        <v>0</v>
      </c>
    </row>
    <row r="14" spans="1:14" x14ac:dyDescent="0.4">
      <c r="A14" s="23">
        <v>12</v>
      </c>
      <c r="B14" s="42">
        <f>B13*(1-Summary!$G$19)</f>
        <v>0</v>
      </c>
      <c r="C14" s="25">
        <f>IF(A14&gt;Summary!$I$31,0,(C13*(1+Summary!$I$29)))</f>
        <v>0</v>
      </c>
      <c r="D14" s="24">
        <f t="shared" si="2"/>
        <v>0</v>
      </c>
      <c r="E14" s="41">
        <f>E13*(1+Summary!$G$15)</f>
        <v>8.6934531778801769E-2</v>
      </c>
      <c r="F14" s="41">
        <f t="shared" si="3"/>
        <v>0</v>
      </c>
      <c r="G14" s="22"/>
      <c r="H14" s="75">
        <f t="shared" si="7"/>
        <v>0</v>
      </c>
      <c r="I14" s="24">
        <f>I13*(1-Summary!$G$19)*(1+Summary!$G$15)</f>
        <v>0</v>
      </c>
      <c r="J14" s="24">
        <f t="shared" si="1"/>
        <v>0</v>
      </c>
      <c r="K14" s="24">
        <f t="shared" si="4"/>
        <v>0</v>
      </c>
      <c r="L14" s="24">
        <f t="shared" si="5"/>
        <v>0</v>
      </c>
      <c r="M14" s="24">
        <f>K14/(1+Summary!$G$16)^($A14-1)</f>
        <v>0</v>
      </c>
      <c r="N14" s="24">
        <f t="shared" si="6"/>
        <v>0</v>
      </c>
    </row>
    <row r="15" spans="1:14" x14ac:dyDescent="0.4">
      <c r="A15" s="23">
        <v>13</v>
      </c>
      <c r="B15" s="42">
        <f>B14*(1-Summary!$G$19)</f>
        <v>0</v>
      </c>
      <c r="C15" s="25">
        <f>IF(A15&gt;Summary!$I$31,0,(C14*(1+Summary!$I$29)))</f>
        <v>0</v>
      </c>
      <c r="D15" s="24">
        <f t="shared" si="2"/>
        <v>0</v>
      </c>
      <c r="E15" s="41">
        <f>E14*(1+Summary!$G$15)</f>
        <v>8.9168749245516973E-2</v>
      </c>
      <c r="F15" s="41">
        <f t="shared" si="3"/>
        <v>0</v>
      </c>
      <c r="G15" s="22"/>
      <c r="H15" s="75">
        <f t="shared" si="7"/>
        <v>0</v>
      </c>
      <c r="I15" s="24">
        <f>I14*(1-Summary!$G$19)*(1+Summary!$G$15)</f>
        <v>0</v>
      </c>
      <c r="J15" s="24">
        <f t="shared" si="1"/>
        <v>0</v>
      </c>
      <c r="K15" s="24">
        <f t="shared" si="4"/>
        <v>0</v>
      </c>
      <c r="L15" s="24">
        <f t="shared" si="5"/>
        <v>0</v>
      </c>
      <c r="M15" s="24">
        <f>K15/(1+Summary!$G$16)^($A15-1)</f>
        <v>0</v>
      </c>
      <c r="N15" s="24">
        <f t="shared" si="6"/>
        <v>0</v>
      </c>
    </row>
    <row r="16" spans="1:14" x14ac:dyDescent="0.4">
      <c r="A16" s="23">
        <v>14</v>
      </c>
      <c r="B16" s="42">
        <f>B15*(1-Summary!$G$19)</f>
        <v>0</v>
      </c>
      <c r="C16" s="25">
        <f>IF(A16&gt;Summary!$I$31,0,(C15*(1+Summary!$I$29)))</f>
        <v>0</v>
      </c>
      <c r="D16" s="24">
        <f t="shared" si="2"/>
        <v>0</v>
      </c>
      <c r="E16" s="41">
        <f>E15*(1+Summary!$G$15)</f>
        <v>9.1460386101126764E-2</v>
      </c>
      <c r="F16" s="41">
        <f t="shared" si="3"/>
        <v>0</v>
      </c>
      <c r="G16" s="22"/>
      <c r="H16" s="75">
        <f t="shared" si="7"/>
        <v>0</v>
      </c>
      <c r="I16" s="24">
        <f>I15*(1-Summary!$G$19)*(1+Summary!$G$15)</f>
        <v>0</v>
      </c>
      <c r="J16" s="24">
        <f t="shared" si="1"/>
        <v>0</v>
      </c>
      <c r="K16" s="24">
        <f t="shared" si="4"/>
        <v>0</v>
      </c>
      <c r="L16" s="24">
        <f t="shared" si="5"/>
        <v>0</v>
      </c>
      <c r="M16" s="24">
        <f>K16/(1+Summary!$G$16)^($A16-1)</f>
        <v>0</v>
      </c>
      <c r="N16" s="24">
        <f t="shared" si="6"/>
        <v>0</v>
      </c>
    </row>
    <row r="17" spans="1:15" x14ac:dyDescent="0.4">
      <c r="A17" s="43">
        <v>15</v>
      </c>
      <c r="B17" s="44">
        <f>B16*(1-Summary!$G$19)</f>
        <v>0</v>
      </c>
      <c r="C17" s="45">
        <f>IF(A17&gt;Summary!$I$31,0,(C16*(1+Summary!$I$29)))</f>
        <v>0</v>
      </c>
      <c r="D17" s="46">
        <f t="shared" si="2"/>
        <v>0</v>
      </c>
      <c r="E17" s="47">
        <f>E16*(1+Summary!$G$15)</f>
        <v>9.381091802392573E-2</v>
      </c>
      <c r="F17" s="47">
        <f t="shared" si="3"/>
        <v>0</v>
      </c>
      <c r="G17" s="48"/>
      <c r="H17" s="81">
        <f t="shared" si="7"/>
        <v>0</v>
      </c>
      <c r="I17" s="46">
        <f>I16*(1-Summary!$G$19)*(1+Summary!$G$15)</f>
        <v>0</v>
      </c>
      <c r="J17" s="46">
        <f t="shared" si="1"/>
        <v>0</v>
      </c>
      <c r="K17" s="81">
        <f t="shared" si="4"/>
        <v>0</v>
      </c>
      <c r="L17" s="46">
        <f t="shared" si="5"/>
        <v>0</v>
      </c>
      <c r="M17" s="46">
        <f>K17/(1+Summary!$G$16)^($A17-1)</f>
        <v>0</v>
      </c>
      <c r="N17" s="46">
        <f t="shared" si="6"/>
        <v>0</v>
      </c>
    </row>
    <row r="18" spans="1:15" x14ac:dyDescent="0.4">
      <c r="A18" s="23">
        <v>16</v>
      </c>
      <c r="B18" s="42">
        <f>B17*(1-Summary!$G$19)</f>
        <v>0</v>
      </c>
      <c r="C18" s="25">
        <f>IF(A18&gt;Summary!$I$31,0,(C17*(1+Summary!$I$29)))</f>
        <v>0</v>
      </c>
      <c r="D18" s="24">
        <f t="shared" si="2"/>
        <v>0</v>
      </c>
      <c r="E18" s="41">
        <f>E17*(1+Summary!$G$15)</f>
        <v>9.6221858617140624E-2</v>
      </c>
      <c r="F18" s="41">
        <f t="shared" si="3"/>
        <v>0</v>
      </c>
      <c r="G18" s="22"/>
      <c r="H18" s="75">
        <f t="shared" si="7"/>
        <v>0</v>
      </c>
      <c r="I18" s="24">
        <f>I17*(1-Summary!$G$19)*(1+Summary!$G$15)</f>
        <v>0</v>
      </c>
      <c r="J18" s="24">
        <f t="shared" si="1"/>
        <v>0</v>
      </c>
      <c r="K18" s="24">
        <f t="shared" si="4"/>
        <v>0</v>
      </c>
      <c r="L18" s="24">
        <f t="shared" si="5"/>
        <v>0</v>
      </c>
      <c r="M18" s="24">
        <f>K18/(1+Summary!$G$16)^($A18-1)</f>
        <v>0</v>
      </c>
      <c r="N18" s="24">
        <f t="shared" si="6"/>
        <v>0</v>
      </c>
    </row>
    <row r="19" spans="1:15" x14ac:dyDescent="0.4">
      <c r="A19" s="23">
        <v>17</v>
      </c>
      <c r="B19" s="42">
        <f>B18*(1-Summary!$G$19)</f>
        <v>0</v>
      </c>
      <c r="C19" s="25">
        <f>IF(A19&gt;Summary!$I$31,0,(C18*(1+Summary!$I$29)))</f>
        <v>0</v>
      </c>
      <c r="D19" s="24">
        <f t="shared" si="2"/>
        <v>0</v>
      </c>
      <c r="E19" s="41">
        <f>E18*(1+Summary!$G$15)</f>
        <v>9.8694760383601143E-2</v>
      </c>
      <c r="F19" s="41">
        <f t="shared" si="3"/>
        <v>0</v>
      </c>
      <c r="G19" s="22"/>
      <c r="H19" s="75">
        <f t="shared" si="7"/>
        <v>0</v>
      </c>
      <c r="I19" s="24">
        <f>I18*(1-Summary!$G$19)*(1+Summary!$G$15)</f>
        <v>0</v>
      </c>
      <c r="J19" s="24">
        <f t="shared" si="1"/>
        <v>0</v>
      </c>
      <c r="K19" s="24">
        <f t="shared" si="4"/>
        <v>0</v>
      </c>
      <c r="L19" s="24">
        <f t="shared" si="5"/>
        <v>0</v>
      </c>
      <c r="M19" s="24">
        <f>K19/(1+Summary!$G$16)^($A19-1)</f>
        <v>0</v>
      </c>
      <c r="N19" s="24">
        <f t="shared" si="6"/>
        <v>0</v>
      </c>
    </row>
    <row r="20" spans="1:15" x14ac:dyDescent="0.4">
      <c r="A20" s="23">
        <v>18</v>
      </c>
      <c r="B20" s="42">
        <f>B19*(1-Summary!$G$19)</f>
        <v>0</v>
      </c>
      <c r="C20" s="25">
        <f>IF(A20&gt;Summary!$I$31,0,(C19*(1+Summary!$I$29)))</f>
        <v>0</v>
      </c>
      <c r="D20" s="24">
        <f t="shared" si="2"/>
        <v>0</v>
      </c>
      <c r="E20" s="41">
        <f>E19*(1+Summary!$G$15)</f>
        <v>0.10123121572545969</v>
      </c>
      <c r="F20" s="41">
        <f t="shared" si="3"/>
        <v>0</v>
      </c>
      <c r="G20" s="22"/>
      <c r="H20" s="75">
        <f t="shared" si="7"/>
        <v>0</v>
      </c>
      <c r="I20" s="24">
        <f>I19*(1-Summary!$G$19)*(1+Summary!$G$15)</f>
        <v>0</v>
      </c>
      <c r="J20" s="24">
        <f t="shared" si="1"/>
        <v>0</v>
      </c>
      <c r="K20" s="24">
        <f t="shared" si="4"/>
        <v>0</v>
      </c>
      <c r="L20" s="24">
        <f t="shared" si="5"/>
        <v>0</v>
      </c>
      <c r="M20" s="24">
        <f>K20/(1+Summary!$G$16)^($A20-1)</f>
        <v>0</v>
      </c>
      <c r="N20" s="24">
        <f t="shared" si="6"/>
        <v>0</v>
      </c>
    </row>
    <row r="21" spans="1:15" x14ac:dyDescent="0.4">
      <c r="A21" s="23">
        <v>19</v>
      </c>
      <c r="B21" s="42">
        <f>B20*(1-Summary!$G$19)</f>
        <v>0</v>
      </c>
      <c r="C21" s="25">
        <f>IF(A21&gt;Summary!$I$31,0,(C20*(1+Summary!$I$29)))</f>
        <v>0</v>
      </c>
      <c r="D21" s="24">
        <f t="shared" si="2"/>
        <v>0</v>
      </c>
      <c r="E21" s="41">
        <f>E20*(1+Summary!$G$15)</f>
        <v>0.10383285796960401</v>
      </c>
      <c r="F21" s="41">
        <f t="shared" si="3"/>
        <v>0</v>
      </c>
      <c r="G21" s="22"/>
      <c r="H21" s="75">
        <f t="shared" si="7"/>
        <v>0</v>
      </c>
      <c r="I21" s="24">
        <f>I20*(1-Summary!$G$19)*(1+Summary!$G$15)</f>
        <v>0</v>
      </c>
      <c r="J21" s="24">
        <f t="shared" si="1"/>
        <v>0</v>
      </c>
      <c r="K21" s="24">
        <f t="shared" si="4"/>
        <v>0</v>
      </c>
      <c r="L21" s="24">
        <f t="shared" si="5"/>
        <v>0</v>
      </c>
      <c r="M21" s="24">
        <f>K21/(1+Summary!$G$16)^($A21-1)</f>
        <v>0</v>
      </c>
      <c r="N21" s="24">
        <f t="shared" si="6"/>
        <v>0</v>
      </c>
    </row>
    <row r="22" spans="1:15" x14ac:dyDescent="0.4">
      <c r="A22" s="43">
        <v>20</v>
      </c>
      <c r="B22" s="44">
        <f>B21*(1-Summary!$G$19)</f>
        <v>0</v>
      </c>
      <c r="C22" s="45">
        <f>IF(A22&gt;Summary!$I$31,0,(C21*(1+Summary!$I$29)))</f>
        <v>0</v>
      </c>
      <c r="D22" s="46">
        <f t="shared" si="2"/>
        <v>0</v>
      </c>
      <c r="E22" s="47">
        <f>E21*(1+Summary!$G$15)</f>
        <v>0.10650136241942283</v>
      </c>
      <c r="F22" s="47">
        <f t="shared" si="3"/>
        <v>0</v>
      </c>
      <c r="G22" s="48"/>
      <c r="H22" s="81">
        <f t="shared" si="7"/>
        <v>0</v>
      </c>
      <c r="I22" s="46">
        <f>I21*(1-Summary!$G$19)*(1+Summary!$G$15)</f>
        <v>0</v>
      </c>
      <c r="J22" s="46">
        <f t="shared" si="1"/>
        <v>0</v>
      </c>
      <c r="K22" s="81">
        <f t="shared" si="4"/>
        <v>0</v>
      </c>
      <c r="L22" s="46">
        <f t="shared" si="5"/>
        <v>0</v>
      </c>
      <c r="M22" s="46">
        <f>K22/(1+Summary!$G$16)^($A22-1)</f>
        <v>0</v>
      </c>
      <c r="N22" s="46">
        <f t="shared" si="6"/>
        <v>0</v>
      </c>
    </row>
    <row r="23" spans="1:15" x14ac:dyDescent="0.4">
      <c r="A23" s="23">
        <v>21</v>
      </c>
      <c r="B23" s="42">
        <f>B22*(1-Summary!$G$19)</f>
        <v>0</v>
      </c>
      <c r="C23" s="25">
        <f>IF(A23&gt;Summary!$I$31,0,(C22*(1+Summary!$I$29)))</f>
        <v>0</v>
      </c>
      <c r="D23" s="24">
        <f t="shared" si="2"/>
        <v>0</v>
      </c>
      <c r="E23" s="41">
        <f>E22*(1+Summary!$G$15)</f>
        <v>0.109238447433602</v>
      </c>
      <c r="F23" s="41">
        <f t="shared" si="3"/>
        <v>0</v>
      </c>
      <c r="G23" s="22"/>
      <c r="H23" s="75">
        <f t="shared" si="7"/>
        <v>0</v>
      </c>
      <c r="I23" s="24">
        <f>I22*(1-Summary!$G$19)*(1+Summary!$G$15)</f>
        <v>0</v>
      </c>
      <c r="J23" s="24">
        <f t="shared" si="1"/>
        <v>0</v>
      </c>
      <c r="K23" s="24">
        <f t="shared" si="4"/>
        <v>0</v>
      </c>
      <c r="L23" s="24">
        <f t="shared" si="5"/>
        <v>0</v>
      </c>
      <c r="M23" s="24">
        <f>K23/(1+Summary!$G$16)^($A23-1)</f>
        <v>0</v>
      </c>
      <c r="N23" s="24">
        <f t="shared" si="6"/>
        <v>0</v>
      </c>
    </row>
    <row r="24" spans="1:15" x14ac:dyDescent="0.4">
      <c r="A24" s="23">
        <v>22</v>
      </c>
      <c r="B24" s="42">
        <f>B23*(1-Summary!$G$19)</f>
        <v>0</v>
      </c>
      <c r="C24" s="25">
        <f>IF(A24&gt;Summary!$I$31,0,(C23*(1+Summary!$I$29)))</f>
        <v>0</v>
      </c>
      <c r="D24" s="24">
        <f t="shared" si="2"/>
        <v>0</v>
      </c>
      <c r="E24" s="41">
        <f>E23*(1+Summary!$G$15)</f>
        <v>0.11204587553264558</v>
      </c>
      <c r="F24" s="41">
        <f t="shared" si="3"/>
        <v>0</v>
      </c>
      <c r="G24" s="22"/>
      <c r="H24" s="75">
        <f t="shared" si="7"/>
        <v>0</v>
      </c>
      <c r="I24" s="24">
        <f>I23*(1-Summary!$G$19)*(1+Summary!$G$15)</f>
        <v>0</v>
      </c>
      <c r="J24" s="24">
        <f t="shared" si="1"/>
        <v>0</v>
      </c>
      <c r="K24" s="24">
        <f t="shared" si="4"/>
        <v>0</v>
      </c>
      <c r="L24" s="24">
        <f t="shared" si="5"/>
        <v>0</v>
      </c>
      <c r="M24" s="24">
        <f>K24/(1+Summary!$G$16)^($A24-1)</f>
        <v>0</v>
      </c>
      <c r="N24" s="24">
        <f t="shared" si="6"/>
        <v>0</v>
      </c>
    </row>
    <row r="25" spans="1:15" x14ac:dyDescent="0.4">
      <c r="A25" s="23">
        <v>23</v>
      </c>
      <c r="B25" s="42">
        <f>B24*(1-Summary!$G$19)</f>
        <v>0</v>
      </c>
      <c r="C25" s="25">
        <f>IF(A25&gt;Summary!$I$31,0,(C24*(1+Summary!$I$29)))</f>
        <v>0</v>
      </c>
      <c r="D25" s="24">
        <f t="shared" si="2"/>
        <v>0</v>
      </c>
      <c r="E25" s="41">
        <f>E24*(1+Summary!$G$15)</f>
        <v>0.11492545453383458</v>
      </c>
      <c r="F25" s="41">
        <f t="shared" si="3"/>
        <v>0</v>
      </c>
      <c r="G25" s="22"/>
      <c r="H25" s="75">
        <f t="shared" si="7"/>
        <v>0</v>
      </c>
      <c r="I25" s="24">
        <f>I24*(1-Summary!$G$19)*(1+Summary!$G$15)</f>
        <v>0</v>
      </c>
      <c r="J25" s="24">
        <f t="shared" si="1"/>
        <v>0</v>
      </c>
      <c r="K25" s="24">
        <f t="shared" si="4"/>
        <v>0</v>
      </c>
      <c r="L25" s="24">
        <f t="shared" si="5"/>
        <v>0</v>
      </c>
      <c r="M25" s="24">
        <f>K25/(1+Summary!$G$16)^($A25-1)</f>
        <v>0</v>
      </c>
      <c r="N25" s="24">
        <f t="shared" si="6"/>
        <v>0</v>
      </c>
    </row>
    <row r="26" spans="1:15" x14ac:dyDescent="0.4">
      <c r="A26" s="23">
        <v>24</v>
      </c>
      <c r="B26" s="42">
        <f>B25*(1-Summary!$G$19)</f>
        <v>0</v>
      </c>
      <c r="C26" s="25">
        <f>IF(A26&gt;Summary!$I$31,0,(C25*(1+Summary!$I$29)))</f>
        <v>0</v>
      </c>
      <c r="D26" s="24">
        <f t="shared" si="2"/>
        <v>0</v>
      </c>
      <c r="E26" s="41">
        <f>E25*(1+Summary!$G$15)</f>
        <v>0.11787903871535414</v>
      </c>
      <c r="F26" s="41">
        <f t="shared" si="3"/>
        <v>0</v>
      </c>
      <c r="G26" s="22"/>
      <c r="H26" s="75">
        <f t="shared" si="7"/>
        <v>0</v>
      </c>
      <c r="I26" s="24">
        <f>I25*(1-Summary!$G$19)*(1+Summary!$G$15)</f>
        <v>0</v>
      </c>
      <c r="J26" s="24">
        <f t="shared" si="1"/>
        <v>0</v>
      </c>
      <c r="K26" s="24">
        <f t="shared" si="4"/>
        <v>0</v>
      </c>
      <c r="L26" s="24">
        <f t="shared" si="5"/>
        <v>0</v>
      </c>
      <c r="M26" s="24">
        <f>K26/(1+Summary!$G$16)^($A26-1)</f>
        <v>0</v>
      </c>
      <c r="N26" s="24">
        <f t="shared" si="6"/>
        <v>0</v>
      </c>
    </row>
    <row r="27" spans="1:15" x14ac:dyDescent="0.4">
      <c r="A27" s="43">
        <v>25</v>
      </c>
      <c r="B27" s="44">
        <f>B26*(1-Summary!$G$19)</f>
        <v>0</v>
      </c>
      <c r="C27" s="45">
        <f>IF(A27&gt;Summary!$I$31,0,(C26*(1+Summary!$I$29)))</f>
        <v>0</v>
      </c>
      <c r="D27" s="46">
        <f t="shared" si="2"/>
        <v>0</v>
      </c>
      <c r="E27" s="47">
        <f>E26*(1+Summary!$G$15)</f>
        <v>0.12090853001033874</v>
      </c>
      <c r="F27" s="47">
        <f t="shared" si="3"/>
        <v>0</v>
      </c>
      <c r="G27" s="48"/>
      <c r="H27" s="81">
        <f t="shared" si="7"/>
        <v>0</v>
      </c>
      <c r="I27" s="46">
        <f>I26*(1-Summary!$G$19)*(1+Summary!$G$15)</f>
        <v>0</v>
      </c>
      <c r="J27" s="46">
        <f t="shared" si="1"/>
        <v>0</v>
      </c>
      <c r="K27" s="81">
        <f t="shared" si="4"/>
        <v>0</v>
      </c>
      <c r="L27" s="46">
        <f t="shared" si="5"/>
        <v>0</v>
      </c>
      <c r="M27" s="46">
        <f>K27/(1+Summary!$G$16)^($A27-1)</f>
        <v>0</v>
      </c>
      <c r="N27" s="46">
        <f t="shared" si="6"/>
        <v>0</v>
      </c>
    </row>
    <row r="28" spans="1:15" x14ac:dyDescent="0.4">
      <c r="A28" s="23">
        <v>26</v>
      </c>
      <c r="B28" s="42">
        <f>B27*(1-Summary!$G$19)</f>
        <v>0</v>
      </c>
      <c r="C28" s="25">
        <f>IF(A28&gt;Summary!$I$31,0,(C27*(1+Summary!$I$29)))</f>
        <v>0</v>
      </c>
      <c r="D28" s="24">
        <f t="shared" si="2"/>
        <v>0</v>
      </c>
      <c r="E28" s="41">
        <f>E27*(1+Summary!$G$15)</f>
        <v>0.12401587923160445</v>
      </c>
      <c r="F28" s="41">
        <f t="shared" si="3"/>
        <v>0</v>
      </c>
      <c r="G28" s="22"/>
      <c r="H28" s="75">
        <f t="shared" si="7"/>
        <v>0</v>
      </c>
      <c r="I28" s="24">
        <f>I27*(1-Summary!$G$19)*(1+Summary!$G$15)</f>
        <v>0</v>
      </c>
      <c r="J28" s="24">
        <f t="shared" si="1"/>
        <v>0</v>
      </c>
      <c r="K28" s="24">
        <f t="shared" si="4"/>
        <v>0</v>
      </c>
      <c r="L28" s="24">
        <f t="shared" si="5"/>
        <v>0</v>
      </c>
      <c r="M28" s="24">
        <f>K28/(1+Summary!$G$16)^($A28-1)</f>
        <v>0</v>
      </c>
      <c r="N28" s="24">
        <f t="shared" si="6"/>
        <v>0</v>
      </c>
    </row>
    <row r="29" spans="1:15" x14ac:dyDescent="0.4">
      <c r="A29" s="23">
        <v>27</v>
      </c>
      <c r="B29" s="42">
        <f>B28*(1-Summary!$G$19)</f>
        <v>0</v>
      </c>
      <c r="C29" s="25">
        <f>IF(A29&gt;Summary!$I$31,0,(C28*(1+Summary!$I$29)))</f>
        <v>0</v>
      </c>
      <c r="D29" s="24">
        <f t="shared" si="2"/>
        <v>0</v>
      </c>
      <c r="E29" s="41">
        <f>E28*(1+Summary!$G$15)</f>
        <v>0.12720308732785671</v>
      </c>
      <c r="F29" s="41">
        <f t="shared" si="3"/>
        <v>0</v>
      </c>
      <c r="G29" s="22"/>
      <c r="H29" s="75">
        <f t="shared" si="7"/>
        <v>0</v>
      </c>
      <c r="I29" s="24">
        <f>I28*(1-Summary!$G$19)*(1+Summary!$G$15)</f>
        <v>0</v>
      </c>
      <c r="J29" s="24">
        <f t="shared" si="1"/>
        <v>0</v>
      </c>
      <c r="K29" s="24">
        <f t="shared" si="4"/>
        <v>0</v>
      </c>
      <c r="L29" s="24">
        <f t="shared" si="5"/>
        <v>0</v>
      </c>
      <c r="M29" s="24">
        <f>K29/(1+Summary!$G$16)^($A29-1)</f>
        <v>0</v>
      </c>
      <c r="N29" s="24">
        <f t="shared" si="6"/>
        <v>0</v>
      </c>
    </row>
    <row r="30" spans="1:15" x14ac:dyDescent="0.4">
      <c r="A30" s="23">
        <v>28</v>
      </c>
      <c r="B30" s="42">
        <f>B29*(1-Summary!$G$19)</f>
        <v>0</v>
      </c>
      <c r="C30" s="25">
        <f>IF(A30&gt;Summary!$I$31,0,(C29*(1+Summary!$I$29)))</f>
        <v>0</v>
      </c>
      <c r="D30" s="24">
        <f t="shared" si="2"/>
        <v>0</v>
      </c>
      <c r="E30" s="41">
        <f>E29*(1+Summary!$G$15)</f>
        <v>0.13047220667218262</v>
      </c>
      <c r="F30" s="41">
        <f t="shared" si="3"/>
        <v>0</v>
      </c>
      <c r="G30" s="22"/>
      <c r="H30" s="75">
        <f t="shared" si="7"/>
        <v>0</v>
      </c>
      <c r="I30" s="24">
        <f>I29*(1-Summary!$G$19)*(1+Summary!$G$15)</f>
        <v>0</v>
      </c>
      <c r="J30" s="24">
        <f t="shared" si="1"/>
        <v>0</v>
      </c>
      <c r="K30" s="24">
        <f t="shared" si="4"/>
        <v>0</v>
      </c>
      <c r="L30" s="24">
        <f t="shared" si="5"/>
        <v>0</v>
      </c>
      <c r="M30" s="24">
        <f>K30/(1+Summary!$G$16)^($A30-1)</f>
        <v>0</v>
      </c>
      <c r="N30" s="24">
        <f t="shared" si="6"/>
        <v>0</v>
      </c>
    </row>
    <row r="31" spans="1:15" x14ac:dyDescent="0.4">
      <c r="A31" s="23">
        <v>29</v>
      </c>
      <c r="B31" s="42">
        <f>B30*(1-Summary!$G$19)</f>
        <v>0</v>
      </c>
      <c r="C31" s="25">
        <f>IF(A31&gt;Summary!$I$31,0,(C30*(1+Summary!$I$29)))</f>
        <v>0</v>
      </c>
      <c r="D31" s="24">
        <f t="shared" si="2"/>
        <v>0</v>
      </c>
      <c r="E31" s="41">
        <f>E30*(1+Summary!$G$15)</f>
        <v>0.13382534238365773</v>
      </c>
      <c r="F31" s="41">
        <f t="shared" si="3"/>
        <v>0</v>
      </c>
      <c r="G31" s="22"/>
      <c r="H31" s="75">
        <f t="shared" si="7"/>
        <v>0</v>
      </c>
      <c r="I31" s="24">
        <f>I30*(1-Summary!$G$19)*(1+Summary!$G$15)</f>
        <v>0</v>
      </c>
      <c r="J31" s="24">
        <f t="shared" si="1"/>
        <v>0</v>
      </c>
      <c r="K31" s="24">
        <f t="shared" si="4"/>
        <v>0</v>
      </c>
      <c r="L31" s="24">
        <f t="shared" si="5"/>
        <v>0</v>
      </c>
      <c r="M31" s="24">
        <f>K31/(1+Summary!$G$16)^($A31-1)</f>
        <v>0</v>
      </c>
      <c r="N31" s="24">
        <f t="shared" si="6"/>
        <v>0</v>
      </c>
    </row>
    <row r="32" spans="1:15" x14ac:dyDescent="0.4">
      <c r="A32" s="43">
        <v>30</v>
      </c>
      <c r="B32" s="44">
        <f>B31*(1-Summary!$G$19)</f>
        <v>0</v>
      </c>
      <c r="C32" s="45">
        <f>IF(A32&gt;Summary!$I$31,0,(C31*(1+Summary!$I$29)))</f>
        <v>0</v>
      </c>
      <c r="D32" s="46">
        <f t="shared" si="2"/>
        <v>0</v>
      </c>
      <c r="E32" s="47">
        <f>E31*(1+Summary!$G$15)</f>
        <v>0.13726465368291774</v>
      </c>
      <c r="F32" s="47">
        <f t="shared" si="3"/>
        <v>0</v>
      </c>
      <c r="G32" s="48"/>
      <c r="H32" s="81">
        <f t="shared" si="7"/>
        <v>0</v>
      </c>
      <c r="I32" s="46">
        <f>I31*(1-Summary!$G$19)*(1+Summary!$G$15)</f>
        <v>0</v>
      </c>
      <c r="J32" s="46">
        <f t="shared" si="1"/>
        <v>0</v>
      </c>
      <c r="K32" s="81">
        <f t="shared" si="4"/>
        <v>0</v>
      </c>
      <c r="L32" s="46">
        <f t="shared" si="5"/>
        <v>0</v>
      </c>
      <c r="M32" s="46">
        <f>K32/(1+Summary!$G$16)^($A32-1)</f>
        <v>0</v>
      </c>
      <c r="N32" s="46">
        <f t="shared" si="6"/>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D1102"/>
  <sheetViews>
    <sheetView workbookViewId="0">
      <selection activeCell="G40" sqref="G40"/>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Summary!J24</f>
        <v>SITE 7</v>
      </c>
      <c r="C1" s="19"/>
      <c r="D1" s="19"/>
      <c r="E1" s="19"/>
      <c r="F1" s="19"/>
      <c r="G1" s="19"/>
      <c r="H1" s="19"/>
      <c r="I1" s="19"/>
      <c r="J1" s="19"/>
      <c r="K1" s="19"/>
      <c r="L1" s="20"/>
      <c r="M1" s="20"/>
      <c r="N1" s="20"/>
    </row>
    <row r="2" spans="1:14" ht="58.3" x14ac:dyDescent="0.4">
      <c r="A2" s="40"/>
      <c r="B2" s="40" t="s">
        <v>45</v>
      </c>
      <c r="C2" s="53" t="s">
        <v>38</v>
      </c>
      <c r="D2" s="53" t="s">
        <v>32</v>
      </c>
      <c r="E2" s="54" t="s">
        <v>46</v>
      </c>
      <c r="F2" s="54" t="s">
        <v>39</v>
      </c>
      <c r="G2" s="55" t="s">
        <v>155</v>
      </c>
      <c r="H2" s="55" t="s">
        <v>156</v>
      </c>
      <c r="I2" s="55" t="s">
        <v>114</v>
      </c>
      <c r="J2" s="40" t="s">
        <v>47</v>
      </c>
      <c r="K2" s="40" t="s">
        <v>33</v>
      </c>
      <c r="L2" s="40" t="s">
        <v>34</v>
      </c>
      <c r="M2" s="40" t="s">
        <v>35</v>
      </c>
      <c r="N2" s="40" t="s">
        <v>36</v>
      </c>
    </row>
    <row r="3" spans="1:14" x14ac:dyDescent="0.4">
      <c r="A3" s="23">
        <v>1</v>
      </c>
      <c r="B3" s="42">
        <f>Summary!J27</f>
        <v>0</v>
      </c>
      <c r="C3" s="25">
        <f>Summary!J28</f>
        <v>0</v>
      </c>
      <c r="D3" s="24">
        <f>B3*C3*-1</f>
        <v>0</v>
      </c>
      <c r="E3" s="41">
        <f>VLOOKUP(Summary!J25,Summary!V4:AF6,11,FALSE)</f>
        <v>6.5761E-2</v>
      </c>
      <c r="F3" s="41">
        <f>B3*E3</f>
        <v>0</v>
      </c>
      <c r="G3" s="22">
        <f>IF(Summary!$J$26&lt;=40,Summary!$G$18,Summary!$G$17)</f>
        <v>0.08</v>
      </c>
      <c r="H3" s="75">
        <f t="shared" ref="H3:H12" si="0">G3*B3</f>
        <v>0</v>
      </c>
      <c r="I3" s="75">
        <f>IFERROR('Demand Charge Calculations'!B52,0)</f>
        <v>0</v>
      </c>
      <c r="J3" s="24">
        <f t="shared" ref="J3:J32" si="1">D3*-1-H3</f>
        <v>0</v>
      </c>
      <c r="K3" s="24">
        <f>F3+D3+H3+I3</f>
        <v>0</v>
      </c>
      <c r="L3" s="24">
        <f>K3</f>
        <v>0</v>
      </c>
      <c r="M3" s="24">
        <f>K3/(1+Summary!$G$16)^($A3-1)</f>
        <v>0</v>
      </c>
      <c r="N3" s="24">
        <f>M3</f>
        <v>0</v>
      </c>
    </row>
    <row r="4" spans="1:14" x14ac:dyDescent="0.4">
      <c r="A4" s="23">
        <v>2</v>
      </c>
      <c r="B4" s="42">
        <f>B3*(1-Summary!$G$19)</f>
        <v>0</v>
      </c>
      <c r="C4" s="25">
        <f>IF(A4&gt;Summary!$J$31,0,(C3*(1+Summary!$J$29)))</f>
        <v>0</v>
      </c>
      <c r="D4" s="24">
        <f t="shared" ref="D4:D32" si="2">B4*C4*-1</f>
        <v>0</v>
      </c>
      <c r="E4" s="41">
        <f>E3*(1+Summary!$G$15)</f>
        <v>6.7451057699999997E-2</v>
      </c>
      <c r="F4" s="41">
        <f t="shared" ref="F4:F32" si="3">B4*E4</f>
        <v>0</v>
      </c>
      <c r="G4" s="22">
        <f>IF(Summary!$J$26&lt;=40,Summary!$G$18,Summary!$G$17)</f>
        <v>0.08</v>
      </c>
      <c r="H4" s="75">
        <f t="shared" si="0"/>
        <v>0</v>
      </c>
      <c r="I4" s="75">
        <f>I3*(1-Summary!$G$19)*(1+Summary!$G$15)</f>
        <v>0</v>
      </c>
      <c r="J4" s="24">
        <f t="shared" si="1"/>
        <v>0</v>
      </c>
      <c r="K4" s="24">
        <f t="shared" ref="K4:K32" si="4">F4+D4+H4+I4</f>
        <v>0</v>
      </c>
      <c r="L4" s="24">
        <f t="shared" ref="L4:L32" si="5">L3+K4</f>
        <v>0</v>
      </c>
      <c r="M4" s="24">
        <f>K4/(1+Summary!$G$16)^($A4-1)</f>
        <v>0</v>
      </c>
      <c r="N4" s="24">
        <f>M4+N3</f>
        <v>0</v>
      </c>
    </row>
    <row r="5" spans="1:14" x14ac:dyDescent="0.4">
      <c r="A5" s="23">
        <v>3</v>
      </c>
      <c r="B5" s="42">
        <f>B4*(1-Summary!$G$19)</f>
        <v>0</v>
      </c>
      <c r="C5" s="25">
        <f>IF(A5&gt;Summary!$J$31,0,(C4*(1+Summary!$J$29)))</f>
        <v>0</v>
      </c>
      <c r="D5" s="24">
        <f t="shared" si="2"/>
        <v>0</v>
      </c>
      <c r="E5" s="41">
        <f>E4*(1+Summary!$G$15)</f>
        <v>6.9184549882889995E-2</v>
      </c>
      <c r="F5" s="41">
        <f t="shared" si="3"/>
        <v>0</v>
      </c>
      <c r="G5" s="22">
        <f>IF(Summary!$J$26&lt;=40,Summary!$G$18,Summary!$G$17)</f>
        <v>0.08</v>
      </c>
      <c r="H5" s="75">
        <f t="shared" si="0"/>
        <v>0</v>
      </c>
      <c r="I5" s="75">
        <f>I4*(1-Summary!$G$19)*(1+Summary!$G$15)</f>
        <v>0</v>
      </c>
      <c r="J5" s="24">
        <f t="shared" si="1"/>
        <v>0</v>
      </c>
      <c r="K5" s="24">
        <f t="shared" si="4"/>
        <v>0</v>
      </c>
      <c r="L5" s="24">
        <f t="shared" si="5"/>
        <v>0</v>
      </c>
      <c r="M5" s="24">
        <f>K5/(1+Summary!$G$16)^($A5-1)</f>
        <v>0</v>
      </c>
      <c r="N5" s="24">
        <f t="shared" ref="N5:N32" si="6">M5+N4</f>
        <v>0</v>
      </c>
    </row>
    <row r="6" spans="1:14" x14ac:dyDescent="0.4">
      <c r="A6" s="23">
        <v>4</v>
      </c>
      <c r="B6" s="42">
        <f>B5*(1-Summary!$G$19)</f>
        <v>0</v>
      </c>
      <c r="C6" s="25">
        <f>IF(A6&gt;Summary!$J$31,0,(C5*(1+Summary!$J$29)))</f>
        <v>0</v>
      </c>
      <c r="D6" s="24">
        <f t="shared" si="2"/>
        <v>0</v>
      </c>
      <c r="E6" s="41">
        <f>E5*(1+Summary!$G$15)</f>
        <v>7.0962592814880265E-2</v>
      </c>
      <c r="F6" s="41">
        <f t="shared" si="3"/>
        <v>0</v>
      </c>
      <c r="G6" s="22">
        <f>IF(Summary!$J$26&lt;=40,Summary!$G$18,Summary!$G$17)</f>
        <v>0.08</v>
      </c>
      <c r="H6" s="75">
        <f t="shared" si="0"/>
        <v>0</v>
      </c>
      <c r="I6" s="75">
        <f>I5*(1-Summary!$G$19)*(1+Summary!$G$15)</f>
        <v>0</v>
      </c>
      <c r="J6" s="24">
        <f t="shared" si="1"/>
        <v>0</v>
      </c>
      <c r="K6" s="24">
        <f t="shared" si="4"/>
        <v>0</v>
      </c>
      <c r="L6" s="24">
        <f t="shared" si="5"/>
        <v>0</v>
      </c>
      <c r="M6" s="24">
        <f>K6/(1+Summary!$G$16)^($A6-1)</f>
        <v>0</v>
      </c>
      <c r="N6" s="24">
        <f t="shared" si="6"/>
        <v>0</v>
      </c>
    </row>
    <row r="7" spans="1:14" x14ac:dyDescent="0.4">
      <c r="A7" s="43">
        <v>5</v>
      </c>
      <c r="B7" s="44">
        <f>B6*(1-Summary!$G$19)</f>
        <v>0</v>
      </c>
      <c r="C7" s="45">
        <f>IF(A7&gt;Summary!$J$31,0,(C6*(1+Summary!$J$29)))</f>
        <v>0</v>
      </c>
      <c r="D7" s="46">
        <f t="shared" si="2"/>
        <v>0</v>
      </c>
      <c r="E7" s="47">
        <f>E6*(1+Summary!$G$15)</f>
        <v>7.2786331450222688E-2</v>
      </c>
      <c r="F7" s="47">
        <f t="shared" si="3"/>
        <v>0</v>
      </c>
      <c r="G7" s="83">
        <f>IF(Summary!$J$26&lt;=40,Summary!$G$18,Summary!$G$17)</f>
        <v>0.08</v>
      </c>
      <c r="H7" s="81">
        <f t="shared" si="0"/>
        <v>0</v>
      </c>
      <c r="I7" s="81">
        <f>I6*(1-Summary!$G$19)*(1+Summary!$G$15)</f>
        <v>0</v>
      </c>
      <c r="J7" s="46">
        <f t="shared" si="1"/>
        <v>0</v>
      </c>
      <c r="K7" s="81">
        <f t="shared" si="4"/>
        <v>0</v>
      </c>
      <c r="L7" s="46">
        <f t="shared" si="5"/>
        <v>0</v>
      </c>
      <c r="M7" s="46">
        <f>K7/(1+Summary!$G$16)^($A7-1)</f>
        <v>0</v>
      </c>
      <c r="N7" s="46">
        <f t="shared" si="6"/>
        <v>0</v>
      </c>
    </row>
    <row r="8" spans="1:14" x14ac:dyDescent="0.4">
      <c r="A8" s="23">
        <v>6</v>
      </c>
      <c r="B8" s="42">
        <f>B7*(1-Summary!$G$19)</f>
        <v>0</v>
      </c>
      <c r="C8" s="25">
        <f>IF(A8&gt;Summary!$J$31,0,(C7*(1+Summary!$J$29)))</f>
        <v>0</v>
      </c>
      <c r="D8" s="24">
        <f t="shared" si="2"/>
        <v>0</v>
      </c>
      <c r="E8" s="41">
        <f>E7*(1+Summary!$G$15)</f>
        <v>7.4656940168493419E-2</v>
      </c>
      <c r="F8" s="41">
        <f t="shared" si="3"/>
        <v>0</v>
      </c>
      <c r="G8" s="22">
        <f>IF(Summary!$J$26&lt;=40,Summary!$G$18,Summary!$G$17)</f>
        <v>0.08</v>
      </c>
      <c r="H8" s="75">
        <f t="shared" si="0"/>
        <v>0</v>
      </c>
      <c r="I8" s="75">
        <f>I7*(1-Summary!$G$19)*(1+Summary!$G$15)</f>
        <v>0</v>
      </c>
      <c r="J8" s="24">
        <f t="shared" si="1"/>
        <v>0</v>
      </c>
      <c r="K8" s="24">
        <f t="shared" si="4"/>
        <v>0</v>
      </c>
      <c r="L8" s="24">
        <f t="shared" si="5"/>
        <v>0</v>
      </c>
      <c r="M8" s="24">
        <f>K8/(1+Summary!$G$16)^($A8-1)</f>
        <v>0</v>
      </c>
      <c r="N8" s="24">
        <f t="shared" si="6"/>
        <v>0</v>
      </c>
    </row>
    <row r="9" spans="1:14" x14ac:dyDescent="0.4">
      <c r="A9" s="23">
        <v>7</v>
      </c>
      <c r="B9" s="42">
        <f>B8*(1-Summary!$G$19)</f>
        <v>0</v>
      </c>
      <c r="C9" s="25">
        <f>IF(A9&gt;Summary!$J$31,0,(C8*(1+Summary!$J$29)))</f>
        <v>0</v>
      </c>
      <c r="D9" s="24">
        <f t="shared" si="2"/>
        <v>0</v>
      </c>
      <c r="E9" s="41">
        <f>E8*(1+Summary!$G$15)</f>
        <v>7.65756235308237E-2</v>
      </c>
      <c r="F9" s="41">
        <f t="shared" si="3"/>
        <v>0</v>
      </c>
      <c r="G9" s="22">
        <f>IF(Summary!$J$26&lt;=40,Summary!$G$18,0)</f>
        <v>0.08</v>
      </c>
      <c r="H9" s="75">
        <f t="shared" si="0"/>
        <v>0</v>
      </c>
      <c r="I9" s="75">
        <f>I8*(1-Summary!$G$19)*(1+Summary!$G$15)</f>
        <v>0</v>
      </c>
      <c r="J9" s="24">
        <f t="shared" si="1"/>
        <v>0</v>
      </c>
      <c r="K9" s="24">
        <f t="shared" si="4"/>
        <v>0</v>
      </c>
      <c r="L9" s="24">
        <f t="shared" si="5"/>
        <v>0</v>
      </c>
      <c r="M9" s="24">
        <f>K9/(1+Summary!$G$16)^($A9-1)</f>
        <v>0</v>
      </c>
      <c r="N9" s="24">
        <f t="shared" si="6"/>
        <v>0</v>
      </c>
    </row>
    <row r="10" spans="1:14" x14ac:dyDescent="0.4">
      <c r="A10" s="23">
        <v>8</v>
      </c>
      <c r="B10" s="42">
        <f>B9*(1-Summary!$G$19)</f>
        <v>0</v>
      </c>
      <c r="C10" s="25">
        <f>IF(A10&gt;Summary!$J$31,0,(C9*(1+Summary!$J$29)))</f>
        <v>0</v>
      </c>
      <c r="D10" s="24">
        <f t="shared" si="2"/>
        <v>0</v>
      </c>
      <c r="E10" s="41">
        <f>E9*(1+Summary!$G$15)</f>
        <v>7.8543617055565867E-2</v>
      </c>
      <c r="F10" s="41">
        <f t="shared" si="3"/>
        <v>0</v>
      </c>
      <c r="G10" s="22">
        <f>IF(Summary!$J$26&lt;=40,Summary!$G$18,0)</f>
        <v>0.08</v>
      </c>
      <c r="H10" s="75">
        <f t="shared" si="0"/>
        <v>0</v>
      </c>
      <c r="I10" s="75">
        <f>I9*(1-Summary!$G$19)*(1+Summary!$G$15)</f>
        <v>0</v>
      </c>
      <c r="J10" s="24">
        <f t="shared" si="1"/>
        <v>0</v>
      </c>
      <c r="K10" s="24">
        <f t="shared" si="4"/>
        <v>0</v>
      </c>
      <c r="L10" s="24">
        <f t="shared" si="5"/>
        <v>0</v>
      </c>
      <c r="M10" s="24">
        <f>K10/(1+Summary!$G$16)^($A10-1)</f>
        <v>0</v>
      </c>
      <c r="N10" s="24">
        <f t="shared" si="6"/>
        <v>0</v>
      </c>
    </row>
    <row r="11" spans="1:14" x14ac:dyDescent="0.4">
      <c r="A11" s="23">
        <v>9</v>
      </c>
      <c r="B11" s="42">
        <f>B10*(1-Summary!$G$19)</f>
        <v>0</v>
      </c>
      <c r="C11" s="25">
        <f>IF(A11&gt;Summary!$J$31,0,(C10*(1+Summary!$J$29)))</f>
        <v>0</v>
      </c>
      <c r="D11" s="24">
        <f t="shared" si="2"/>
        <v>0</v>
      </c>
      <c r="E11" s="41">
        <f>E10*(1+Summary!$G$15)</f>
        <v>8.0562188013893921E-2</v>
      </c>
      <c r="F11" s="41">
        <f t="shared" si="3"/>
        <v>0</v>
      </c>
      <c r="G11" s="22">
        <f>IF(Summary!$J$26&lt;=40,Summary!$G$18,0)</f>
        <v>0.08</v>
      </c>
      <c r="H11" s="75">
        <f t="shared" si="0"/>
        <v>0</v>
      </c>
      <c r="I11" s="75">
        <f>I10*(1-Summary!$G$19)*(1+Summary!$G$15)</f>
        <v>0</v>
      </c>
      <c r="J11" s="24">
        <f t="shared" si="1"/>
        <v>0</v>
      </c>
      <c r="K11" s="24">
        <f t="shared" si="4"/>
        <v>0</v>
      </c>
      <c r="L11" s="24">
        <f t="shared" si="5"/>
        <v>0</v>
      </c>
      <c r="M11" s="24">
        <f>K11/(1+Summary!$G$16)^($A11-1)</f>
        <v>0</v>
      </c>
      <c r="N11" s="24">
        <f t="shared" si="6"/>
        <v>0</v>
      </c>
    </row>
    <row r="12" spans="1:14" x14ac:dyDescent="0.4">
      <c r="A12" s="43">
        <v>10</v>
      </c>
      <c r="B12" s="44">
        <f>B11*(1-Summary!$G$19)</f>
        <v>0</v>
      </c>
      <c r="C12" s="45">
        <f>IF(A12&gt;Summary!$J$31,0,(C11*(1+Summary!$J$29)))</f>
        <v>0</v>
      </c>
      <c r="D12" s="46">
        <f t="shared" si="2"/>
        <v>0</v>
      </c>
      <c r="E12" s="47">
        <f>E11*(1+Summary!$G$15)</f>
        <v>8.2632636245851002E-2</v>
      </c>
      <c r="F12" s="47">
        <f t="shared" si="3"/>
        <v>0</v>
      </c>
      <c r="G12" s="83">
        <f>IF(Summary!$J$26&lt;=40,Summary!$G$18,0)</f>
        <v>0.08</v>
      </c>
      <c r="H12" s="81">
        <f t="shared" si="0"/>
        <v>0</v>
      </c>
      <c r="I12" s="81">
        <f>I11*(1-Summary!$G$19)*(1+Summary!$G$15)</f>
        <v>0</v>
      </c>
      <c r="J12" s="46">
        <f t="shared" si="1"/>
        <v>0</v>
      </c>
      <c r="K12" s="81">
        <f t="shared" si="4"/>
        <v>0</v>
      </c>
      <c r="L12" s="46">
        <f t="shared" si="5"/>
        <v>0</v>
      </c>
      <c r="M12" s="46">
        <f>K12/(1+Summary!$G$16)^($A12-1)</f>
        <v>0</v>
      </c>
      <c r="N12" s="46">
        <f t="shared" si="6"/>
        <v>0</v>
      </c>
    </row>
    <row r="13" spans="1:14" x14ac:dyDescent="0.4">
      <c r="A13" s="23">
        <v>11</v>
      </c>
      <c r="B13" s="42">
        <f>B12*(1-Summary!$G$19)</f>
        <v>0</v>
      </c>
      <c r="C13" s="25">
        <f>IF(A13&gt;Summary!$J$31,0,(C12*(1+Summary!$J$29)))</f>
        <v>0</v>
      </c>
      <c r="D13" s="24">
        <f t="shared" si="2"/>
        <v>0</v>
      </c>
      <c r="E13" s="41">
        <f>E12*(1+Summary!$G$15)</f>
        <v>8.4756294997369377E-2</v>
      </c>
      <c r="F13" s="41">
        <f t="shared" si="3"/>
        <v>0</v>
      </c>
      <c r="G13" s="22"/>
      <c r="H13" s="24">
        <f t="shared" ref="H13:H32" si="7">G13*B13</f>
        <v>0</v>
      </c>
      <c r="I13" s="24">
        <f>I12*(1-Summary!$G$19)*(1+Summary!$G$15)</f>
        <v>0</v>
      </c>
      <c r="J13" s="24">
        <f t="shared" si="1"/>
        <v>0</v>
      </c>
      <c r="K13" s="24">
        <f t="shared" si="4"/>
        <v>0</v>
      </c>
      <c r="L13" s="24">
        <f t="shared" si="5"/>
        <v>0</v>
      </c>
      <c r="M13" s="24">
        <f>K13/(1+Summary!$G$16)^($A13-1)</f>
        <v>0</v>
      </c>
      <c r="N13" s="24">
        <f t="shared" si="6"/>
        <v>0</v>
      </c>
    </row>
    <row r="14" spans="1:14" x14ac:dyDescent="0.4">
      <c r="A14" s="23">
        <v>12</v>
      </c>
      <c r="B14" s="42">
        <f>B13*(1-Summary!$G$19)</f>
        <v>0</v>
      </c>
      <c r="C14" s="25">
        <f>IF(A14&gt;Summary!$J$31,0,(C13*(1+Summary!$J$29)))</f>
        <v>0</v>
      </c>
      <c r="D14" s="24">
        <f t="shared" si="2"/>
        <v>0</v>
      </c>
      <c r="E14" s="41">
        <f>E13*(1+Summary!$G$15)</f>
        <v>8.6934531778801769E-2</v>
      </c>
      <c r="F14" s="41">
        <f t="shared" si="3"/>
        <v>0</v>
      </c>
      <c r="G14" s="22"/>
      <c r="H14" s="24">
        <f t="shared" si="7"/>
        <v>0</v>
      </c>
      <c r="I14" s="24">
        <f>I13*(1-Summary!$G$19)*(1+Summary!$G$15)</f>
        <v>0</v>
      </c>
      <c r="J14" s="24">
        <f t="shared" si="1"/>
        <v>0</v>
      </c>
      <c r="K14" s="24">
        <f t="shared" si="4"/>
        <v>0</v>
      </c>
      <c r="L14" s="24">
        <f t="shared" si="5"/>
        <v>0</v>
      </c>
      <c r="M14" s="24">
        <f>K14/(1+Summary!$G$16)^($A14-1)</f>
        <v>0</v>
      </c>
      <c r="N14" s="24">
        <f t="shared" si="6"/>
        <v>0</v>
      </c>
    </row>
    <row r="15" spans="1:14" x14ac:dyDescent="0.4">
      <c r="A15" s="23">
        <v>13</v>
      </c>
      <c r="B15" s="42">
        <f>B14*(1-Summary!$G$19)</f>
        <v>0</v>
      </c>
      <c r="C15" s="25">
        <f>IF(A15&gt;Summary!$J$31,0,(C14*(1+Summary!$J$29)))</f>
        <v>0</v>
      </c>
      <c r="D15" s="24">
        <f t="shared" si="2"/>
        <v>0</v>
      </c>
      <c r="E15" s="41">
        <f>E14*(1+Summary!$G$15)</f>
        <v>8.9168749245516973E-2</v>
      </c>
      <c r="F15" s="41">
        <f t="shared" si="3"/>
        <v>0</v>
      </c>
      <c r="G15" s="22"/>
      <c r="H15" s="24">
        <f t="shared" si="7"/>
        <v>0</v>
      </c>
      <c r="I15" s="24">
        <f>I14*(1-Summary!$G$19)*(1+Summary!$G$15)</f>
        <v>0</v>
      </c>
      <c r="J15" s="24">
        <f t="shared" si="1"/>
        <v>0</v>
      </c>
      <c r="K15" s="24">
        <f t="shared" si="4"/>
        <v>0</v>
      </c>
      <c r="L15" s="24">
        <f t="shared" si="5"/>
        <v>0</v>
      </c>
      <c r="M15" s="24">
        <f>K15/(1+Summary!$G$16)^($A15-1)</f>
        <v>0</v>
      </c>
      <c r="N15" s="24">
        <f t="shared" si="6"/>
        <v>0</v>
      </c>
    </row>
    <row r="16" spans="1:14" x14ac:dyDescent="0.4">
      <c r="A16" s="23">
        <v>14</v>
      </c>
      <c r="B16" s="42">
        <f>B15*(1-Summary!$G$19)</f>
        <v>0</v>
      </c>
      <c r="C16" s="25">
        <f>IF(A16&gt;Summary!$J$31,0,(C15*(1+Summary!$J$29)))</f>
        <v>0</v>
      </c>
      <c r="D16" s="24">
        <f t="shared" si="2"/>
        <v>0</v>
      </c>
      <c r="E16" s="41">
        <f>E15*(1+Summary!$G$15)</f>
        <v>9.1460386101126764E-2</v>
      </c>
      <c r="F16" s="41">
        <f t="shared" si="3"/>
        <v>0</v>
      </c>
      <c r="G16" s="22"/>
      <c r="H16" s="24">
        <f t="shared" si="7"/>
        <v>0</v>
      </c>
      <c r="I16" s="24">
        <f>I15*(1-Summary!$G$19)*(1+Summary!$G$15)</f>
        <v>0</v>
      </c>
      <c r="J16" s="24">
        <f t="shared" si="1"/>
        <v>0</v>
      </c>
      <c r="K16" s="24">
        <f t="shared" si="4"/>
        <v>0</v>
      </c>
      <c r="L16" s="24">
        <f t="shared" si="5"/>
        <v>0</v>
      </c>
      <c r="M16" s="24">
        <f>K16/(1+Summary!$G$16)^($A16-1)</f>
        <v>0</v>
      </c>
      <c r="N16" s="24">
        <f t="shared" si="6"/>
        <v>0</v>
      </c>
    </row>
    <row r="17" spans="1:15" x14ac:dyDescent="0.4">
      <c r="A17" s="43">
        <v>15</v>
      </c>
      <c r="B17" s="44">
        <f>B16*(1-Summary!$G$19)</f>
        <v>0</v>
      </c>
      <c r="C17" s="45">
        <f>IF(A17&gt;Summary!$J$31,0,(C16*(1+Summary!$J$29)))</f>
        <v>0</v>
      </c>
      <c r="D17" s="46">
        <f t="shared" si="2"/>
        <v>0</v>
      </c>
      <c r="E17" s="47">
        <f>E16*(1+Summary!$G$15)</f>
        <v>9.381091802392573E-2</v>
      </c>
      <c r="F17" s="47">
        <f t="shared" si="3"/>
        <v>0</v>
      </c>
      <c r="G17" s="48"/>
      <c r="H17" s="46">
        <f t="shared" si="7"/>
        <v>0</v>
      </c>
      <c r="I17" s="46">
        <f>I16*(1-Summary!$G$19)*(1+Summary!$G$15)</f>
        <v>0</v>
      </c>
      <c r="J17" s="46">
        <f t="shared" si="1"/>
        <v>0</v>
      </c>
      <c r="K17" s="81">
        <f t="shared" si="4"/>
        <v>0</v>
      </c>
      <c r="L17" s="46">
        <f t="shared" si="5"/>
        <v>0</v>
      </c>
      <c r="M17" s="46">
        <f>K17/(1+Summary!$G$16)^($A17-1)</f>
        <v>0</v>
      </c>
      <c r="N17" s="46">
        <f t="shared" si="6"/>
        <v>0</v>
      </c>
    </row>
    <row r="18" spans="1:15" x14ac:dyDescent="0.4">
      <c r="A18" s="23">
        <v>16</v>
      </c>
      <c r="B18" s="42">
        <f>B17*(1-Summary!$G$19)</f>
        <v>0</v>
      </c>
      <c r="C18" s="25">
        <f>IF(A18&gt;Summary!$J$31,0,(C17*(1+Summary!$J$29)))</f>
        <v>0</v>
      </c>
      <c r="D18" s="24">
        <f t="shared" si="2"/>
        <v>0</v>
      </c>
      <c r="E18" s="41">
        <f>E17*(1+Summary!$G$15)</f>
        <v>9.6221858617140624E-2</v>
      </c>
      <c r="F18" s="41">
        <f t="shared" si="3"/>
        <v>0</v>
      </c>
      <c r="G18" s="22"/>
      <c r="H18" s="24">
        <f t="shared" si="7"/>
        <v>0</v>
      </c>
      <c r="I18" s="24">
        <f>I17*(1-Summary!$G$19)*(1+Summary!$G$15)</f>
        <v>0</v>
      </c>
      <c r="J18" s="24">
        <f t="shared" si="1"/>
        <v>0</v>
      </c>
      <c r="K18" s="24">
        <f t="shared" si="4"/>
        <v>0</v>
      </c>
      <c r="L18" s="24">
        <f t="shared" si="5"/>
        <v>0</v>
      </c>
      <c r="M18" s="24">
        <f>K18/(1+Summary!$G$16)^($A18-1)</f>
        <v>0</v>
      </c>
      <c r="N18" s="24">
        <f t="shared" si="6"/>
        <v>0</v>
      </c>
    </row>
    <row r="19" spans="1:15" x14ac:dyDescent="0.4">
      <c r="A19" s="23">
        <v>17</v>
      </c>
      <c r="B19" s="42">
        <f>B18*(1-Summary!$G$19)</f>
        <v>0</v>
      </c>
      <c r="C19" s="25">
        <f>IF(A19&gt;Summary!$J$31,0,(C18*(1+Summary!$J$29)))</f>
        <v>0</v>
      </c>
      <c r="D19" s="24">
        <f t="shared" si="2"/>
        <v>0</v>
      </c>
      <c r="E19" s="41">
        <f>E18*(1+Summary!$G$15)</f>
        <v>9.8694760383601143E-2</v>
      </c>
      <c r="F19" s="41">
        <f t="shared" si="3"/>
        <v>0</v>
      </c>
      <c r="G19" s="22"/>
      <c r="H19" s="24">
        <f t="shared" si="7"/>
        <v>0</v>
      </c>
      <c r="I19" s="24">
        <f>I18*(1-Summary!$G$19)*(1+Summary!$G$15)</f>
        <v>0</v>
      </c>
      <c r="J19" s="24">
        <f t="shared" si="1"/>
        <v>0</v>
      </c>
      <c r="K19" s="24">
        <f t="shared" si="4"/>
        <v>0</v>
      </c>
      <c r="L19" s="24">
        <f t="shared" si="5"/>
        <v>0</v>
      </c>
      <c r="M19" s="24">
        <f>K19/(1+Summary!$G$16)^($A19-1)</f>
        <v>0</v>
      </c>
      <c r="N19" s="24">
        <f t="shared" si="6"/>
        <v>0</v>
      </c>
    </row>
    <row r="20" spans="1:15" x14ac:dyDescent="0.4">
      <c r="A20" s="23">
        <v>18</v>
      </c>
      <c r="B20" s="42">
        <f>B19*(1-Summary!$G$19)</f>
        <v>0</v>
      </c>
      <c r="C20" s="25">
        <f>IF(A20&gt;Summary!$J$31,0,(C19*(1+Summary!$J$29)))</f>
        <v>0</v>
      </c>
      <c r="D20" s="24">
        <f t="shared" si="2"/>
        <v>0</v>
      </c>
      <c r="E20" s="41">
        <f>E19*(1+Summary!$G$15)</f>
        <v>0.10123121572545969</v>
      </c>
      <c r="F20" s="41">
        <f t="shared" si="3"/>
        <v>0</v>
      </c>
      <c r="G20" s="22"/>
      <c r="H20" s="24">
        <f t="shared" si="7"/>
        <v>0</v>
      </c>
      <c r="I20" s="24">
        <f>I19*(1-Summary!$G$19)*(1+Summary!$G$15)</f>
        <v>0</v>
      </c>
      <c r="J20" s="24">
        <f t="shared" si="1"/>
        <v>0</v>
      </c>
      <c r="K20" s="24">
        <f t="shared" si="4"/>
        <v>0</v>
      </c>
      <c r="L20" s="24">
        <f t="shared" si="5"/>
        <v>0</v>
      </c>
      <c r="M20" s="24">
        <f>K20/(1+Summary!$G$16)^($A20-1)</f>
        <v>0</v>
      </c>
      <c r="N20" s="24">
        <f t="shared" si="6"/>
        <v>0</v>
      </c>
    </row>
    <row r="21" spans="1:15" x14ac:dyDescent="0.4">
      <c r="A21" s="23">
        <v>19</v>
      </c>
      <c r="B21" s="42">
        <f>B20*(1-Summary!$G$19)</f>
        <v>0</v>
      </c>
      <c r="C21" s="25">
        <f>IF(A21&gt;Summary!$J$31,0,(C20*(1+Summary!$J$29)))</f>
        <v>0</v>
      </c>
      <c r="D21" s="24">
        <f t="shared" si="2"/>
        <v>0</v>
      </c>
      <c r="E21" s="41">
        <f>E20*(1+Summary!$G$15)</f>
        <v>0.10383285796960401</v>
      </c>
      <c r="F21" s="41">
        <f t="shared" si="3"/>
        <v>0</v>
      </c>
      <c r="G21" s="22"/>
      <c r="H21" s="24">
        <f t="shared" si="7"/>
        <v>0</v>
      </c>
      <c r="I21" s="24">
        <f>I20*(1-Summary!$G$19)*(1+Summary!$G$15)</f>
        <v>0</v>
      </c>
      <c r="J21" s="24">
        <f t="shared" si="1"/>
        <v>0</v>
      </c>
      <c r="K21" s="24">
        <f t="shared" si="4"/>
        <v>0</v>
      </c>
      <c r="L21" s="24">
        <f t="shared" si="5"/>
        <v>0</v>
      </c>
      <c r="M21" s="24">
        <f>K21/(1+Summary!$G$16)^($A21-1)</f>
        <v>0</v>
      </c>
      <c r="N21" s="24">
        <f t="shared" si="6"/>
        <v>0</v>
      </c>
    </row>
    <row r="22" spans="1:15" x14ac:dyDescent="0.4">
      <c r="A22" s="43">
        <v>20</v>
      </c>
      <c r="B22" s="44">
        <f>B21*(1-Summary!$G$19)</f>
        <v>0</v>
      </c>
      <c r="C22" s="45">
        <f>IF(A22&gt;Summary!$J$31,0,(C21*(1+Summary!$J$29)))</f>
        <v>0</v>
      </c>
      <c r="D22" s="46">
        <f t="shared" si="2"/>
        <v>0</v>
      </c>
      <c r="E22" s="47">
        <f>E21*(1+Summary!$G$15)</f>
        <v>0.10650136241942283</v>
      </c>
      <c r="F22" s="47">
        <f t="shared" si="3"/>
        <v>0</v>
      </c>
      <c r="G22" s="48"/>
      <c r="H22" s="46">
        <f t="shared" si="7"/>
        <v>0</v>
      </c>
      <c r="I22" s="46">
        <f>I21*(1-Summary!$G$19)*(1+Summary!$G$15)</f>
        <v>0</v>
      </c>
      <c r="J22" s="46">
        <f t="shared" si="1"/>
        <v>0</v>
      </c>
      <c r="K22" s="81">
        <f t="shared" si="4"/>
        <v>0</v>
      </c>
      <c r="L22" s="46">
        <f t="shared" si="5"/>
        <v>0</v>
      </c>
      <c r="M22" s="46">
        <f>K22/(1+Summary!$G$16)^($A22-1)</f>
        <v>0</v>
      </c>
      <c r="N22" s="46">
        <f t="shared" si="6"/>
        <v>0</v>
      </c>
    </row>
    <row r="23" spans="1:15" x14ac:dyDescent="0.4">
      <c r="A23" s="23">
        <v>21</v>
      </c>
      <c r="B23" s="42">
        <f>B22*(1-Summary!$G$19)</f>
        <v>0</v>
      </c>
      <c r="C23" s="25">
        <f>IF(A23&gt;Summary!$J$31,0,(C22*(1+Summary!$J$29)))</f>
        <v>0</v>
      </c>
      <c r="D23" s="24">
        <f t="shared" si="2"/>
        <v>0</v>
      </c>
      <c r="E23" s="41">
        <f>E22*(1+Summary!$G$15)</f>
        <v>0.109238447433602</v>
      </c>
      <c r="F23" s="41">
        <f t="shared" si="3"/>
        <v>0</v>
      </c>
      <c r="G23" s="22"/>
      <c r="H23" s="24">
        <f t="shared" si="7"/>
        <v>0</v>
      </c>
      <c r="I23" s="24">
        <f>I22*(1-Summary!$G$19)*(1+Summary!$G$15)</f>
        <v>0</v>
      </c>
      <c r="J23" s="24">
        <f t="shared" si="1"/>
        <v>0</v>
      </c>
      <c r="K23" s="24">
        <f t="shared" si="4"/>
        <v>0</v>
      </c>
      <c r="L23" s="24">
        <f t="shared" si="5"/>
        <v>0</v>
      </c>
      <c r="M23" s="24">
        <f>K23/(1+Summary!$G$16)^($A23-1)</f>
        <v>0</v>
      </c>
      <c r="N23" s="24">
        <f t="shared" si="6"/>
        <v>0</v>
      </c>
    </row>
    <row r="24" spans="1:15" x14ac:dyDescent="0.4">
      <c r="A24" s="23">
        <v>22</v>
      </c>
      <c r="B24" s="42">
        <f>B23*(1-Summary!$G$19)</f>
        <v>0</v>
      </c>
      <c r="C24" s="25">
        <f>IF(A24&gt;Summary!$J$31,0,(C23*(1+Summary!$J$29)))</f>
        <v>0</v>
      </c>
      <c r="D24" s="24">
        <f t="shared" si="2"/>
        <v>0</v>
      </c>
      <c r="E24" s="41">
        <f>E23*(1+Summary!$G$15)</f>
        <v>0.11204587553264558</v>
      </c>
      <c r="F24" s="41">
        <f t="shared" si="3"/>
        <v>0</v>
      </c>
      <c r="G24" s="22"/>
      <c r="H24" s="24">
        <f t="shared" si="7"/>
        <v>0</v>
      </c>
      <c r="I24" s="24">
        <f>I23*(1-Summary!$G$19)*(1+Summary!$G$15)</f>
        <v>0</v>
      </c>
      <c r="J24" s="24">
        <f t="shared" si="1"/>
        <v>0</v>
      </c>
      <c r="K24" s="24">
        <f t="shared" si="4"/>
        <v>0</v>
      </c>
      <c r="L24" s="24">
        <f t="shared" si="5"/>
        <v>0</v>
      </c>
      <c r="M24" s="24">
        <f>K24/(1+Summary!$G$16)^($A24-1)</f>
        <v>0</v>
      </c>
      <c r="N24" s="24">
        <f t="shared" si="6"/>
        <v>0</v>
      </c>
    </row>
    <row r="25" spans="1:15" x14ac:dyDescent="0.4">
      <c r="A25" s="23">
        <v>23</v>
      </c>
      <c r="B25" s="42">
        <f>B24*(1-Summary!$G$19)</f>
        <v>0</v>
      </c>
      <c r="C25" s="25">
        <f>IF(A25&gt;Summary!$J$31,0,(C24*(1+Summary!$J$29)))</f>
        <v>0</v>
      </c>
      <c r="D25" s="24">
        <f t="shared" si="2"/>
        <v>0</v>
      </c>
      <c r="E25" s="41">
        <f>E24*(1+Summary!$G$15)</f>
        <v>0.11492545453383458</v>
      </c>
      <c r="F25" s="41">
        <f t="shared" si="3"/>
        <v>0</v>
      </c>
      <c r="G25" s="22"/>
      <c r="H25" s="24">
        <f t="shared" si="7"/>
        <v>0</v>
      </c>
      <c r="I25" s="24">
        <f>I24*(1-Summary!$G$19)*(1+Summary!$G$15)</f>
        <v>0</v>
      </c>
      <c r="J25" s="24">
        <f t="shared" si="1"/>
        <v>0</v>
      </c>
      <c r="K25" s="24">
        <f t="shared" si="4"/>
        <v>0</v>
      </c>
      <c r="L25" s="24">
        <f t="shared" si="5"/>
        <v>0</v>
      </c>
      <c r="M25" s="24">
        <f>K25/(1+Summary!$G$16)^($A25-1)</f>
        <v>0</v>
      </c>
      <c r="N25" s="24">
        <f t="shared" si="6"/>
        <v>0</v>
      </c>
    </row>
    <row r="26" spans="1:15" x14ac:dyDescent="0.4">
      <c r="A26" s="23">
        <v>24</v>
      </c>
      <c r="B26" s="42">
        <f>B25*(1-Summary!$G$19)</f>
        <v>0</v>
      </c>
      <c r="C26" s="25">
        <f>IF(A26&gt;Summary!$J$31,0,(C25*(1+Summary!$J$29)))</f>
        <v>0</v>
      </c>
      <c r="D26" s="24">
        <f t="shared" si="2"/>
        <v>0</v>
      </c>
      <c r="E26" s="41">
        <f>E25*(1+Summary!$G$15)</f>
        <v>0.11787903871535414</v>
      </c>
      <c r="F26" s="41">
        <f t="shared" si="3"/>
        <v>0</v>
      </c>
      <c r="G26" s="22"/>
      <c r="H26" s="24">
        <f t="shared" si="7"/>
        <v>0</v>
      </c>
      <c r="I26" s="24">
        <f>I25*(1-Summary!$G$19)*(1+Summary!$G$15)</f>
        <v>0</v>
      </c>
      <c r="J26" s="24">
        <f t="shared" si="1"/>
        <v>0</v>
      </c>
      <c r="K26" s="24">
        <f t="shared" si="4"/>
        <v>0</v>
      </c>
      <c r="L26" s="24">
        <f t="shared" si="5"/>
        <v>0</v>
      </c>
      <c r="M26" s="24">
        <f>K26/(1+Summary!$G$16)^($A26-1)</f>
        <v>0</v>
      </c>
      <c r="N26" s="24">
        <f t="shared" si="6"/>
        <v>0</v>
      </c>
    </row>
    <row r="27" spans="1:15" x14ac:dyDescent="0.4">
      <c r="A27" s="43">
        <v>25</v>
      </c>
      <c r="B27" s="44">
        <f>B26*(1-Summary!$G$19)</f>
        <v>0</v>
      </c>
      <c r="C27" s="45">
        <f>IF(A27&gt;Summary!$J$31,0,(C26*(1+Summary!$J$29)))</f>
        <v>0</v>
      </c>
      <c r="D27" s="46">
        <f t="shared" si="2"/>
        <v>0</v>
      </c>
      <c r="E27" s="47">
        <f>E26*(1+Summary!$G$15)</f>
        <v>0.12090853001033874</v>
      </c>
      <c r="F27" s="47">
        <f t="shared" si="3"/>
        <v>0</v>
      </c>
      <c r="G27" s="48"/>
      <c r="H27" s="46">
        <f t="shared" si="7"/>
        <v>0</v>
      </c>
      <c r="I27" s="46">
        <f>I26*(1-Summary!$G$19)*(1+Summary!$G$15)</f>
        <v>0</v>
      </c>
      <c r="J27" s="46">
        <f t="shared" si="1"/>
        <v>0</v>
      </c>
      <c r="K27" s="81">
        <f t="shared" si="4"/>
        <v>0</v>
      </c>
      <c r="L27" s="46">
        <f t="shared" si="5"/>
        <v>0</v>
      </c>
      <c r="M27" s="46">
        <f>K27/(1+Summary!$G$16)^($A27-1)</f>
        <v>0</v>
      </c>
      <c r="N27" s="46">
        <f t="shared" si="6"/>
        <v>0</v>
      </c>
    </row>
    <row r="28" spans="1:15" x14ac:dyDescent="0.4">
      <c r="A28" s="23">
        <v>26</v>
      </c>
      <c r="B28" s="42">
        <f>B27*(1-Summary!$G$19)</f>
        <v>0</v>
      </c>
      <c r="C28" s="25">
        <f>IF(A28&gt;Summary!$J$31,0,(C27*(1+Summary!$J$29)))</f>
        <v>0</v>
      </c>
      <c r="D28" s="24">
        <f t="shared" si="2"/>
        <v>0</v>
      </c>
      <c r="E28" s="41">
        <f>E27*(1+Summary!$G$15)</f>
        <v>0.12401587923160445</v>
      </c>
      <c r="F28" s="41">
        <f t="shared" si="3"/>
        <v>0</v>
      </c>
      <c r="G28" s="22"/>
      <c r="H28" s="24">
        <f t="shared" si="7"/>
        <v>0</v>
      </c>
      <c r="I28" s="24">
        <f>I27*(1-Summary!$G$19)*(1+Summary!$G$15)</f>
        <v>0</v>
      </c>
      <c r="J28" s="24">
        <f t="shared" si="1"/>
        <v>0</v>
      </c>
      <c r="K28" s="24">
        <f t="shared" si="4"/>
        <v>0</v>
      </c>
      <c r="L28" s="24">
        <f t="shared" si="5"/>
        <v>0</v>
      </c>
      <c r="M28" s="24">
        <f>K28/(1+Summary!$G$16)^($A28-1)</f>
        <v>0</v>
      </c>
      <c r="N28" s="24">
        <f t="shared" si="6"/>
        <v>0</v>
      </c>
    </row>
    <row r="29" spans="1:15" x14ac:dyDescent="0.4">
      <c r="A29" s="23">
        <v>27</v>
      </c>
      <c r="B29" s="42">
        <f>B28*(1-Summary!$G$19)</f>
        <v>0</v>
      </c>
      <c r="C29" s="25">
        <f>IF(A29&gt;Summary!$J$31,0,(C28*(1+Summary!$J$29)))</f>
        <v>0</v>
      </c>
      <c r="D29" s="24">
        <f t="shared" si="2"/>
        <v>0</v>
      </c>
      <c r="E29" s="41">
        <f>E28*(1+Summary!$G$15)</f>
        <v>0.12720308732785671</v>
      </c>
      <c r="F29" s="41">
        <f t="shared" si="3"/>
        <v>0</v>
      </c>
      <c r="G29" s="22"/>
      <c r="H29" s="24">
        <f t="shared" si="7"/>
        <v>0</v>
      </c>
      <c r="I29" s="24">
        <f>I28*(1-Summary!$G$19)*(1+Summary!$G$15)</f>
        <v>0</v>
      </c>
      <c r="J29" s="24">
        <f t="shared" si="1"/>
        <v>0</v>
      </c>
      <c r="K29" s="24">
        <f t="shared" si="4"/>
        <v>0</v>
      </c>
      <c r="L29" s="24">
        <f t="shared" si="5"/>
        <v>0</v>
      </c>
      <c r="M29" s="24">
        <f>K29/(1+Summary!$G$16)^($A29-1)</f>
        <v>0</v>
      </c>
      <c r="N29" s="24">
        <f t="shared" si="6"/>
        <v>0</v>
      </c>
    </row>
    <row r="30" spans="1:15" x14ac:dyDescent="0.4">
      <c r="A30" s="23">
        <v>28</v>
      </c>
      <c r="B30" s="42">
        <f>B29*(1-Summary!$G$19)</f>
        <v>0</v>
      </c>
      <c r="C30" s="25">
        <f>IF(A30&gt;Summary!$J$31,0,(C29*(1+Summary!$J$29)))</f>
        <v>0</v>
      </c>
      <c r="D30" s="24">
        <f t="shared" si="2"/>
        <v>0</v>
      </c>
      <c r="E30" s="41">
        <f>E29*(1+Summary!$G$15)</f>
        <v>0.13047220667218262</v>
      </c>
      <c r="F30" s="41">
        <f t="shared" si="3"/>
        <v>0</v>
      </c>
      <c r="G30" s="22"/>
      <c r="H30" s="24">
        <f t="shared" si="7"/>
        <v>0</v>
      </c>
      <c r="I30" s="24">
        <f>I29*(1-Summary!$G$19)*(1+Summary!$G$15)</f>
        <v>0</v>
      </c>
      <c r="J30" s="24">
        <f t="shared" si="1"/>
        <v>0</v>
      </c>
      <c r="K30" s="24">
        <f t="shared" si="4"/>
        <v>0</v>
      </c>
      <c r="L30" s="24">
        <f t="shared" si="5"/>
        <v>0</v>
      </c>
      <c r="M30" s="24">
        <f>K30/(1+Summary!$G$16)^($A30-1)</f>
        <v>0</v>
      </c>
      <c r="N30" s="24">
        <f t="shared" si="6"/>
        <v>0</v>
      </c>
    </row>
    <row r="31" spans="1:15" x14ac:dyDescent="0.4">
      <c r="A31" s="23">
        <v>29</v>
      </c>
      <c r="B31" s="42">
        <f>B30*(1-Summary!$G$19)</f>
        <v>0</v>
      </c>
      <c r="C31" s="25">
        <f>IF(A31&gt;Summary!$J$31,0,(C30*(1+Summary!$J$29)))</f>
        <v>0</v>
      </c>
      <c r="D31" s="24">
        <f t="shared" si="2"/>
        <v>0</v>
      </c>
      <c r="E31" s="41">
        <f>E30*(1+Summary!$G$15)</f>
        <v>0.13382534238365773</v>
      </c>
      <c r="F31" s="41">
        <f t="shared" si="3"/>
        <v>0</v>
      </c>
      <c r="G31" s="22"/>
      <c r="H31" s="24">
        <f t="shared" si="7"/>
        <v>0</v>
      </c>
      <c r="I31" s="24">
        <f>I30*(1-Summary!$G$19)*(1+Summary!$G$15)</f>
        <v>0</v>
      </c>
      <c r="J31" s="24">
        <f t="shared" si="1"/>
        <v>0</v>
      </c>
      <c r="K31" s="24">
        <f t="shared" si="4"/>
        <v>0</v>
      </c>
      <c r="L31" s="24">
        <f t="shared" si="5"/>
        <v>0</v>
      </c>
      <c r="M31" s="24">
        <f>K31/(1+Summary!$G$16)^($A31-1)</f>
        <v>0</v>
      </c>
      <c r="N31" s="24">
        <f t="shared" si="6"/>
        <v>0</v>
      </c>
    </row>
    <row r="32" spans="1:15" x14ac:dyDescent="0.4">
      <c r="A32" s="43">
        <v>30</v>
      </c>
      <c r="B32" s="44">
        <f>B31*(1-Summary!$G$19)</f>
        <v>0</v>
      </c>
      <c r="C32" s="45">
        <f>IF(A32&gt;Summary!$J$31,0,(C31*(1+Summary!$J$29)))</f>
        <v>0</v>
      </c>
      <c r="D32" s="46">
        <f t="shared" si="2"/>
        <v>0</v>
      </c>
      <c r="E32" s="47">
        <f>E31*(1+Summary!$G$15)</f>
        <v>0.13726465368291774</v>
      </c>
      <c r="F32" s="47">
        <f t="shared" si="3"/>
        <v>0</v>
      </c>
      <c r="G32" s="48"/>
      <c r="H32" s="46">
        <f t="shared" si="7"/>
        <v>0</v>
      </c>
      <c r="I32" s="46">
        <f>I31*(1-Summary!$G$19)*(1+Summary!$G$15)</f>
        <v>0</v>
      </c>
      <c r="J32" s="46">
        <f t="shared" si="1"/>
        <v>0</v>
      </c>
      <c r="K32" s="81">
        <f t="shared" si="4"/>
        <v>0</v>
      </c>
      <c r="L32" s="46">
        <f t="shared" si="5"/>
        <v>0</v>
      </c>
      <c r="M32" s="46">
        <f>K32/(1+Summary!$G$16)^($A32-1)</f>
        <v>0</v>
      </c>
      <c r="N32" s="46">
        <f t="shared" si="6"/>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his_x0020_doc_x0020_is_x0020_a_x0020_PDF_x0020_that_x0027_s_x0020_been_x0020_CONVERTED_x0020_to_x0020_Word_x002e__x0020_If_x0020_you_x0020_have_x0020_any_x0020_issues_x002c__x0020_please_x0020_advise_x0020_Klara_x002e_ xmlns="deae0b55-203e-4120-8ec9-56200b9d0530" xsi:nil="true"/>
    <_Flow_SignoffStatus xmlns="deae0b55-203e-4120-8ec9-56200b9d053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C3AB86A27D5F42A346487301B5F6C1" ma:contentTypeVersion="23" ma:contentTypeDescription="Create a new document." ma:contentTypeScope="" ma:versionID="de7ef681821decdf0210aa0d402b4144">
  <xsd:schema xmlns:xsd="http://www.w3.org/2001/XMLSchema" xmlns:xs="http://www.w3.org/2001/XMLSchema" xmlns:p="http://schemas.microsoft.com/office/2006/metadata/properties" xmlns:ns2="f5807569-94f0-41d0-a3d7-00e33efdd08f" xmlns:ns3="deae0b55-203e-4120-8ec9-56200b9d0530" targetNamespace="http://schemas.microsoft.com/office/2006/metadata/properties" ma:root="true" ma:fieldsID="70e8b9f49dad6637c3ff5d030652cc81" ns2:_="" ns3:_="">
    <xsd:import namespace="f5807569-94f0-41d0-a3d7-00e33efdd08f"/>
    <xsd:import namespace="deae0b55-203e-4120-8ec9-56200b9d0530"/>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This_x0020_doc_x0020_is_x0020_a_x0020_PDF_x0020_that_x0027_s_x0020_been_x0020_CONVERTED_x0020_to_x0020_Word_x002e__x0020_If_x0020_you_x0020_have_x0020_any_x0020_issues_x002c__x0020_please_x0020_advise_x0020_Klara_x002e_"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_Flow_SignoffStatu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07569-94f0-41d0-a3d7-00e33efdd08f" elementFormDefault="qualified">
    <xsd:import namespace="http://schemas.microsoft.com/office/2006/documentManagement/types"/>
    <xsd:import namespace="http://schemas.microsoft.com/office/infopath/2007/PartnerControls"/>
    <xsd:element name="SharedWithUsers" ma:index="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eae0b55-203e-4120-8ec9-56200b9d0530" elementFormDefault="qualified">
    <xsd:import namespace="http://schemas.microsoft.com/office/2006/documentManagement/types"/>
    <xsd:import namespace="http://schemas.microsoft.com/office/infopath/2007/PartnerControls"/>
    <xsd:element name="This_x0020_doc_x0020_is_x0020_a_x0020_PDF_x0020_that_x0027_s_x0020_been_x0020_CONVERTED_x0020_to_x0020_Word_x002e__x0020_If_x0020_you_x0020_have_x0020_any_x0020_issues_x002c__x0020_please_x0020_advise_x0020_Klara_x002e_" ma:index="13" nillable="true" ma:displayName=".." ma:internalName="This_x0020_doc_x0020_is_x0020_a_x0020_PDF_x0020_that_x0027_s_x0020_been_x0020_CONVERTED_x0020_to_x0020_Word_x002e__x0020_If_x0020_you_x0020_have_x0020_any_x0020_issues_x002c__x0020_please_x0020_advise_x0020_Klara_x002e_">
      <xsd:simpleType>
        <xsd:restriction base="dms:Note">
          <xsd:maxLength value="255"/>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Location" ma:index="18" nillable="true" ma:displayName="MediaServiceLocation" ma:descrip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_Flow_SignoffStatus" ma:index="22" nillable="true" ma:displayName="Sign-off status" ma:internalName="_x0024_Resources_x003a_core_x002c_Signoff_Status_x003b_">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3EC868-6C00-4C17-8854-E13F29C5A93B}">
  <ds:schemaRefs>
    <ds:schemaRef ds:uri="http://schemas.microsoft.com/sharepoint/v3/contenttype/forms"/>
  </ds:schemaRefs>
</ds:datastoreItem>
</file>

<file path=customXml/itemProps2.xml><?xml version="1.0" encoding="utf-8"?>
<ds:datastoreItem xmlns:ds="http://schemas.openxmlformats.org/officeDocument/2006/customXml" ds:itemID="{8DF9372C-7740-4A72-981A-A7E4F2F9C69E}">
  <ds:schemaRefs>
    <ds:schemaRef ds:uri="http://schemas.microsoft.com/office/2006/documentManagement/types"/>
    <ds:schemaRef ds:uri="http://schemas.openxmlformats.org/package/2006/metadata/core-properties"/>
    <ds:schemaRef ds:uri="http://purl.org/dc/dcmitype/"/>
    <ds:schemaRef ds:uri="http://purl.org/dc/elements/1.1/"/>
    <ds:schemaRef ds:uri="f5807569-94f0-41d0-a3d7-00e33efdd08f"/>
    <ds:schemaRef ds:uri="http://purl.org/dc/terms/"/>
    <ds:schemaRef ds:uri="http://www.w3.org/XML/1998/namespace"/>
    <ds:schemaRef ds:uri="http://schemas.microsoft.com/office/infopath/2007/PartnerControls"/>
    <ds:schemaRef ds:uri="deae0b55-203e-4120-8ec9-56200b9d0530"/>
    <ds:schemaRef ds:uri="http://schemas.microsoft.com/office/2006/metadata/properties"/>
  </ds:schemaRefs>
</ds:datastoreItem>
</file>

<file path=customXml/itemProps3.xml><?xml version="1.0" encoding="utf-8"?>
<ds:datastoreItem xmlns:ds="http://schemas.openxmlformats.org/officeDocument/2006/customXml" ds:itemID="{BD781BE6-3CA0-4C7E-8B71-E0A167361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807569-94f0-41d0-a3d7-00e33efdd08f"/>
    <ds:schemaRef ds:uri="deae0b55-203e-4120-8ec9-56200b9d0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Introduction - Start Here!</vt:lpstr>
      <vt:lpstr>Summary</vt:lpstr>
      <vt:lpstr>Example Site 1</vt:lpstr>
      <vt:lpstr>Example Site 2</vt:lpstr>
      <vt:lpstr>Example Site 3</vt:lpstr>
      <vt:lpstr>Site 4</vt:lpstr>
      <vt:lpstr>Site 5</vt:lpstr>
      <vt:lpstr>Site 6</vt:lpstr>
      <vt:lpstr>Site 7</vt:lpstr>
      <vt:lpstr>Site 8</vt:lpstr>
      <vt:lpstr>Demand Charge Calculations</vt:lpstr>
      <vt:lpstr>Demand Reduction Curves</vt:lpstr>
      <vt:lpstr>system size</vt:lpstr>
      <vt:lpstr>Summary!Print_Area</vt:lpstr>
      <vt:lpstr>size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meyer</dc:creator>
  <cp:keywords/>
  <dc:description/>
  <cp:lastModifiedBy>Jenna Greene</cp:lastModifiedBy>
  <cp:revision/>
  <dcterms:created xsi:type="dcterms:W3CDTF">2015-01-11T17:03:00Z</dcterms:created>
  <dcterms:modified xsi:type="dcterms:W3CDTF">2019-09-04T19:47:05Z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0x01010088C3AB86A27D5F42A346487301B5F6C1</vt:lpwstr>
  </property>
</Properties>
</file>